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20730" windowHeight="9165" activeTab="1"/>
  </bookViews>
  <sheets>
    <sheet name="งบแสดงผลการดำเนินงาน ปี 255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451" i="2" l="1"/>
  <c r="M451" i="2"/>
  <c r="L451" i="2"/>
  <c r="K451" i="2"/>
  <c r="J451" i="2"/>
  <c r="I451" i="2"/>
  <c r="H451" i="2"/>
  <c r="G451" i="2"/>
  <c r="F451" i="2"/>
  <c r="E451" i="2"/>
  <c r="D451" i="2"/>
  <c r="B451" i="2"/>
  <c r="C447" i="2"/>
  <c r="C451" i="2" s="1"/>
  <c r="N438" i="2"/>
  <c r="M438" i="2"/>
  <c r="K438" i="2"/>
  <c r="J438" i="2"/>
  <c r="I438" i="2"/>
  <c r="H438" i="2"/>
  <c r="G438" i="2"/>
  <c r="F438" i="2"/>
  <c r="E438" i="2"/>
  <c r="D438" i="2"/>
  <c r="C436" i="2"/>
  <c r="B436" i="2"/>
  <c r="C435" i="2"/>
  <c r="L434" i="2"/>
  <c r="L438" i="2" s="1"/>
  <c r="C434" i="2"/>
  <c r="B434" i="2"/>
  <c r="C433" i="2"/>
  <c r="B433" i="2"/>
  <c r="C432" i="2"/>
  <c r="B432" i="2"/>
  <c r="C431" i="2"/>
  <c r="B431" i="2"/>
  <c r="C430" i="2"/>
  <c r="B430" i="2"/>
  <c r="C429" i="2"/>
  <c r="B429" i="2"/>
  <c r="C428" i="2"/>
  <c r="B428" i="2"/>
  <c r="C427" i="2"/>
  <c r="C426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B415" i="2"/>
  <c r="B404" i="2"/>
  <c r="C403" i="2"/>
  <c r="C402" i="2"/>
  <c r="N401" i="2"/>
  <c r="N404" i="2" s="1"/>
  <c r="M401" i="2"/>
  <c r="M404" i="2" s="1"/>
  <c r="L401" i="2"/>
  <c r="L404" i="2" s="1"/>
  <c r="K401" i="2"/>
  <c r="K404" i="2" s="1"/>
  <c r="J401" i="2"/>
  <c r="J404" i="2" s="1"/>
  <c r="I401" i="2"/>
  <c r="I404" i="2" s="1"/>
  <c r="H401" i="2"/>
  <c r="H404" i="2" s="1"/>
  <c r="G401" i="2"/>
  <c r="G404" i="2" s="1"/>
  <c r="F401" i="2"/>
  <c r="F404" i="2" s="1"/>
  <c r="E401" i="2"/>
  <c r="E404" i="2" s="1"/>
  <c r="B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D388" i="2"/>
  <c r="D401" i="2" s="1"/>
  <c r="D404" i="2" s="1"/>
  <c r="N377" i="2"/>
  <c r="M377" i="2"/>
  <c r="L377" i="2"/>
  <c r="K377" i="2"/>
  <c r="J377" i="2"/>
  <c r="I377" i="2"/>
  <c r="H377" i="2"/>
  <c r="G377" i="2"/>
  <c r="F377" i="2"/>
  <c r="E377" i="2"/>
  <c r="D377" i="2"/>
  <c r="C377" i="2"/>
  <c r="B377" i="2"/>
  <c r="N366" i="2"/>
  <c r="C365" i="2"/>
  <c r="C364" i="2"/>
  <c r="N363" i="2"/>
  <c r="M363" i="2"/>
  <c r="M366" i="2" s="1"/>
  <c r="L363" i="2"/>
  <c r="L366" i="2" s="1"/>
  <c r="K363" i="2"/>
  <c r="K366" i="2" s="1"/>
  <c r="J363" i="2"/>
  <c r="J366" i="2" s="1"/>
  <c r="I363" i="2"/>
  <c r="I366" i="2" s="1"/>
  <c r="H363" i="2"/>
  <c r="H366" i="2" s="1"/>
  <c r="G363" i="2"/>
  <c r="G366" i="2" s="1"/>
  <c r="F363" i="2"/>
  <c r="F366" i="2" s="1"/>
  <c r="E363" i="2"/>
  <c r="E366" i="2" s="1"/>
  <c r="B363" i="2"/>
  <c r="B366" i="2" s="1"/>
  <c r="C362" i="2"/>
  <c r="C361" i="2"/>
  <c r="C360" i="2"/>
  <c r="C359" i="2"/>
  <c r="C358" i="2"/>
  <c r="C357" i="2"/>
  <c r="C356" i="2"/>
  <c r="C355" i="2"/>
  <c r="C354" i="2"/>
  <c r="C353" i="2"/>
  <c r="C352" i="2"/>
  <c r="C351" i="2"/>
  <c r="D350" i="2"/>
  <c r="D363" i="2" s="1"/>
  <c r="D366" i="2" s="1"/>
  <c r="N339" i="2"/>
  <c r="M339" i="2"/>
  <c r="L339" i="2"/>
  <c r="K339" i="2"/>
  <c r="J339" i="2"/>
  <c r="I339" i="2"/>
  <c r="H339" i="2"/>
  <c r="G339" i="2"/>
  <c r="F339" i="2"/>
  <c r="E339" i="2"/>
  <c r="D339" i="2"/>
  <c r="C339" i="2"/>
  <c r="B339" i="2"/>
  <c r="J328" i="2"/>
  <c r="C327" i="2"/>
  <c r="C326" i="2"/>
  <c r="N325" i="2"/>
  <c r="N328" i="2" s="1"/>
  <c r="M325" i="2"/>
  <c r="M328" i="2" s="1"/>
  <c r="L325" i="2"/>
  <c r="L328" i="2" s="1"/>
  <c r="K325" i="2"/>
  <c r="K328" i="2" s="1"/>
  <c r="J325" i="2"/>
  <c r="I325" i="2"/>
  <c r="I328" i="2" s="1"/>
  <c r="H325" i="2"/>
  <c r="H328" i="2" s="1"/>
  <c r="G325" i="2"/>
  <c r="G328" i="2" s="1"/>
  <c r="F325" i="2"/>
  <c r="F328" i="2" s="1"/>
  <c r="E325" i="2"/>
  <c r="E328" i="2" s="1"/>
  <c r="B325" i="2"/>
  <c r="B328" i="2" s="1"/>
  <c r="C324" i="2"/>
  <c r="C323" i="2"/>
  <c r="C322" i="2"/>
  <c r="C321" i="2"/>
  <c r="C320" i="2"/>
  <c r="C319" i="2"/>
  <c r="C318" i="2"/>
  <c r="C317" i="2"/>
  <c r="C316" i="2"/>
  <c r="C315" i="2"/>
  <c r="C314" i="2"/>
  <c r="C313" i="2"/>
  <c r="D312" i="2"/>
  <c r="D325" i="2" s="1"/>
  <c r="D328" i="2" s="1"/>
  <c r="N301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C289" i="2"/>
  <c r="C288" i="2"/>
  <c r="N287" i="2"/>
  <c r="N290" i="2" s="1"/>
  <c r="M287" i="2"/>
  <c r="M290" i="2" s="1"/>
  <c r="L287" i="2"/>
  <c r="L290" i="2" s="1"/>
  <c r="K287" i="2"/>
  <c r="K290" i="2" s="1"/>
  <c r="J287" i="2"/>
  <c r="J290" i="2" s="1"/>
  <c r="I287" i="2"/>
  <c r="I290" i="2" s="1"/>
  <c r="H287" i="2"/>
  <c r="H290" i="2" s="1"/>
  <c r="G287" i="2"/>
  <c r="G290" i="2" s="1"/>
  <c r="F287" i="2"/>
  <c r="F290" i="2" s="1"/>
  <c r="E287" i="2"/>
  <c r="E290" i="2" s="1"/>
  <c r="B287" i="2"/>
  <c r="B290" i="2" s="1"/>
  <c r="C286" i="2"/>
  <c r="C285" i="2"/>
  <c r="C284" i="2"/>
  <c r="C283" i="2"/>
  <c r="C282" i="2"/>
  <c r="C281" i="2"/>
  <c r="C280" i="2"/>
  <c r="C279" i="2"/>
  <c r="C278" i="2"/>
  <c r="C277" i="2"/>
  <c r="C276" i="2"/>
  <c r="C275" i="2"/>
  <c r="D274" i="2"/>
  <c r="D287" i="2" s="1"/>
  <c r="D290" i="2" s="1"/>
  <c r="N263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B252" i="2"/>
  <c r="C251" i="2"/>
  <c r="C250" i="2"/>
  <c r="N249" i="2"/>
  <c r="N252" i="2" s="1"/>
  <c r="M249" i="2"/>
  <c r="M252" i="2" s="1"/>
  <c r="L249" i="2"/>
  <c r="L252" i="2" s="1"/>
  <c r="K249" i="2"/>
  <c r="K252" i="2" s="1"/>
  <c r="J249" i="2"/>
  <c r="J252" i="2" s="1"/>
  <c r="I249" i="2"/>
  <c r="I252" i="2" s="1"/>
  <c r="H249" i="2"/>
  <c r="H252" i="2" s="1"/>
  <c r="G249" i="2"/>
  <c r="G252" i="2" s="1"/>
  <c r="F249" i="2"/>
  <c r="F252" i="2" s="1"/>
  <c r="E249" i="2"/>
  <c r="E252" i="2" s="1"/>
  <c r="B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D236" i="2"/>
  <c r="D249" i="2" s="1"/>
  <c r="D252" i="2" s="1"/>
  <c r="N225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N214" i="2"/>
  <c r="C213" i="2"/>
  <c r="C212" i="2"/>
  <c r="N211" i="2"/>
  <c r="M211" i="2"/>
  <c r="M214" i="2" s="1"/>
  <c r="L211" i="2"/>
  <c r="L214" i="2" s="1"/>
  <c r="K211" i="2"/>
  <c r="K214" i="2" s="1"/>
  <c r="J211" i="2"/>
  <c r="J214" i="2" s="1"/>
  <c r="I211" i="2"/>
  <c r="I214" i="2" s="1"/>
  <c r="H211" i="2"/>
  <c r="H214" i="2" s="1"/>
  <c r="G211" i="2"/>
  <c r="G214" i="2" s="1"/>
  <c r="F211" i="2"/>
  <c r="F214" i="2" s="1"/>
  <c r="E211" i="2"/>
  <c r="E214" i="2" s="1"/>
  <c r="C210" i="2"/>
  <c r="C209" i="2"/>
  <c r="C208" i="2"/>
  <c r="C207" i="2"/>
  <c r="C206" i="2"/>
  <c r="C205" i="2"/>
  <c r="C204" i="2"/>
  <c r="C203" i="2"/>
  <c r="D202" i="2"/>
  <c r="C202" i="2" s="1"/>
  <c r="D201" i="2"/>
  <c r="C201" i="2" s="1"/>
  <c r="C200" i="2"/>
  <c r="C199" i="2"/>
  <c r="D198" i="2"/>
  <c r="D211" i="2" s="1"/>
  <c r="D214" i="2" s="1"/>
  <c r="B198" i="2"/>
  <c r="B211" i="2" s="1"/>
  <c r="B214" i="2" s="1"/>
  <c r="C185" i="2"/>
  <c r="B185" i="2"/>
  <c r="C174" i="2"/>
  <c r="C173" i="2"/>
  <c r="N172" i="2"/>
  <c r="N175" i="2" s="1"/>
  <c r="M172" i="2"/>
  <c r="M175" i="2" s="1"/>
  <c r="L172" i="2"/>
  <c r="L175" i="2" s="1"/>
  <c r="K172" i="2"/>
  <c r="K175" i="2" s="1"/>
  <c r="J172" i="2"/>
  <c r="J175" i="2" s="1"/>
  <c r="I172" i="2"/>
  <c r="I175" i="2" s="1"/>
  <c r="H172" i="2"/>
  <c r="H175" i="2" s="1"/>
  <c r="G172" i="2"/>
  <c r="G175" i="2" s="1"/>
  <c r="F172" i="2"/>
  <c r="F175" i="2" s="1"/>
  <c r="E172" i="2"/>
  <c r="E175" i="2" s="1"/>
  <c r="C171" i="2"/>
  <c r="C170" i="2"/>
  <c r="C169" i="2"/>
  <c r="C168" i="2"/>
  <c r="C167" i="2"/>
  <c r="C166" i="2"/>
  <c r="C165" i="2"/>
  <c r="C164" i="2"/>
  <c r="C163" i="2"/>
  <c r="C162" i="2"/>
  <c r="C161" i="2"/>
  <c r="D160" i="2"/>
  <c r="D172" i="2" s="1"/>
  <c r="D175" i="2" s="1"/>
  <c r="B160" i="2"/>
  <c r="B172" i="2" s="1"/>
  <c r="B175" i="2" s="1"/>
  <c r="C147" i="2"/>
  <c r="B147" i="2"/>
  <c r="C136" i="2"/>
  <c r="C135" i="2"/>
  <c r="N134" i="2"/>
  <c r="N137" i="2" s="1"/>
  <c r="M134" i="2"/>
  <c r="M137" i="2" s="1"/>
  <c r="L134" i="2"/>
  <c r="L137" i="2" s="1"/>
  <c r="K134" i="2"/>
  <c r="K137" i="2" s="1"/>
  <c r="J134" i="2"/>
  <c r="J137" i="2" s="1"/>
  <c r="I134" i="2"/>
  <c r="I137" i="2" s="1"/>
  <c r="H134" i="2"/>
  <c r="H137" i="2" s="1"/>
  <c r="G134" i="2"/>
  <c r="G137" i="2" s="1"/>
  <c r="F134" i="2"/>
  <c r="F137" i="2" s="1"/>
  <c r="E134" i="2"/>
  <c r="E137" i="2" s="1"/>
  <c r="B134" i="2"/>
  <c r="B137" i="2" s="1"/>
  <c r="C133" i="2"/>
  <c r="C132" i="2"/>
  <c r="C131" i="2"/>
  <c r="C130" i="2"/>
  <c r="C129" i="2"/>
  <c r="C128" i="2"/>
  <c r="C127" i="2"/>
  <c r="C126" i="2"/>
  <c r="C125" i="2"/>
  <c r="C124" i="2"/>
  <c r="C123" i="2"/>
  <c r="D122" i="2"/>
  <c r="C122" i="2" s="1"/>
  <c r="C109" i="2"/>
  <c r="B109" i="2"/>
  <c r="C98" i="2"/>
  <c r="C97" i="2"/>
  <c r="N96" i="2"/>
  <c r="N99" i="2" s="1"/>
  <c r="M96" i="2"/>
  <c r="M99" i="2" s="1"/>
  <c r="L96" i="2"/>
  <c r="L99" i="2" s="1"/>
  <c r="K96" i="2"/>
  <c r="K99" i="2" s="1"/>
  <c r="J96" i="2"/>
  <c r="J99" i="2" s="1"/>
  <c r="I96" i="2"/>
  <c r="I99" i="2" s="1"/>
  <c r="H96" i="2"/>
  <c r="H99" i="2" s="1"/>
  <c r="G96" i="2"/>
  <c r="G99" i="2" s="1"/>
  <c r="F96" i="2"/>
  <c r="F99" i="2" s="1"/>
  <c r="E96" i="2"/>
  <c r="E99" i="2" s="1"/>
  <c r="B96" i="2"/>
  <c r="B99" i="2" s="1"/>
  <c r="C95" i="2"/>
  <c r="C94" i="2"/>
  <c r="C93" i="2"/>
  <c r="C92" i="2"/>
  <c r="C91" i="2"/>
  <c r="C90" i="2"/>
  <c r="C89" i="2"/>
  <c r="D88" i="2"/>
  <c r="C88" i="2" s="1"/>
  <c r="C87" i="2"/>
  <c r="C86" i="2"/>
  <c r="C85" i="2"/>
  <c r="D84" i="2"/>
  <c r="D96" i="2" s="1"/>
  <c r="D99" i="2" s="1"/>
  <c r="C71" i="2"/>
  <c r="B71" i="2"/>
  <c r="C60" i="2"/>
  <c r="C59" i="2"/>
  <c r="N58" i="2"/>
  <c r="N61" i="2" s="1"/>
  <c r="M58" i="2"/>
  <c r="M61" i="2" s="1"/>
  <c r="L58" i="2"/>
  <c r="L61" i="2" s="1"/>
  <c r="K58" i="2"/>
  <c r="K61" i="2" s="1"/>
  <c r="J58" i="2"/>
  <c r="J61" i="2" s="1"/>
  <c r="I58" i="2"/>
  <c r="I61" i="2" s="1"/>
  <c r="H58" i="2"/>
  <c r="H61" i="2" s="1"/>
  <c r="G58" i="2"/>
  <c r="G61" i="2" s="1"/>
  <c r="F58" i="2"/>
  <c r="F61" i="2" s="1"/>
  <c r="E58" i="2"/>
  <c r="E61" i="2" s="1"/>
  <c r="B58" i="2"/>
  <c r="B61" i="2" s="1"/>
  <c r="C57" i="2"/>
  <c r="C56" i="2"/>
  <c r="C55" i="2"/>
  <c r="C54" i="2"/>
  <c r="C53" i="2"/>
  <c r="C52" i="2"/>
  <c r="D51" i="2"/>
  <c r="C51" i="2" s="1"/>
  <c r="D50" i="2"/>
  <c r="C50" i="2" s="1"/>
  <c r="D49" i="2"/>
  <c r="C49" i="2" s="1"/>
  <c r="C48" i="2"/>
  <c r="C47" i="2"/>
  <c r="D46" i="2"/>
  <c r="C46" i="2" s="1"/>
  <c r="C33" i="2"/>
  <c r="B33" i="2"/>
  <c r="C22" i="2"/>
  <c r="C21" i="2"/>
  <c r="N20" i="2"/>
  <c r="N23" i="2" s="1"/>
  <c r="M20" i="2"/>
  <c r="M23" i="2" s="1"/>
  <c r="L20" i="2"/>
  <c r="L23" i="2" s="1"/>
  <c r="K20" i="2"/>
  <c r="K23" i="2" s="1"/>
  <c r="J20" i="2"/>
  <c r="J23" i="2" s="1"/>
  <c r="I20" i="2"/>
  <c r="I23" i="2" s="1"/>
  <c r="H20" i="2"/>
  <c r="H23" i="2" s="1"/>
  <c r="G20" i="2"/>
  <c r="G23" i="2" s="1"/>
  <c r="F20" i="2"/>
  <c r="F23" i="2" s="1"/>
  <c r="E20" i="2"/>
  <c r="E23" i="2" s="1"/>
  <c r="B20" i="2"/>
  <c r="B23" i="2" s="1"/>
  <c r="C19" i="2"/>
  <c r="O19" i="2" s="1"/>
  <c r="P19" i="2" s="1"/>
  <c r="C18" i="2"/>
  <c r="O18" i="2" s="1"/>
  <c r="P18" i="2" s="1"/>
  <c r="C17" i="2"/>
  <c r="O17" i="2" s="1"/>
  <c r="P17" i="2" s="1"/>
  <c r="C16" i="2"/>
  <c r="O16" i="2" s="1"/>
  <c r="P16" i="2" s="1"/>
  <c r="C15" i="2"/>
  <c r="O15" i="2" s="1"/>
  <c r="P15" i="2" s="1"/>
  <c r="C14" i="2"/>
  <c r="O14" i="2" s="1"/>
  <c r="P14" i="2" s="1"/>
  <c r="C13" i="2"/>
  <c r="O13" i="2" s="1"/>
  <c r="P13" i="2" s="1"/>
  <c r="C12" i="2"/>
  <c r="O12" i="2" s="1"/>
  <c r="P12" i="2" s="1"/>
  <c r="C11" i="2"/>
  <c r="O11" i="2" s="1"/>
  <c r="P11" i="2" s="1"/>
  <c r="C10" i="2"/>
  <c r="O10" i="2" s="1"/>
  <c r="P10" i="2" s="1"/>
  <c r="C9" i="2"/>
  <c r="O9" i="2" s="1"/>
  <c r="P9" i="2" s="1"/>
  <c r="D8" i="2"/>
  <c r="D20" i="2" s="1"/>
  <c r="D23" i="2" s="1"/>
  <c r="C38" i="1"/>
  <c r="B38" i="1"/>
  <c r="N27" i="1"/>
  <c r="M27" i="1"/>
  <c r="L27" i="1"/>
  <c r="K27" i="1"/>
  <c r="K28" i="1" s="1"/>
  <c r="J27" i="1"/>
  <c r="I27" i="1"/>
  <c r="G27" i="1"/>
  <c r="E27" i="1"/>
  <c r="D27" i="1"/>
  <c r="B27" i="1"/>
  <c r="C26" i="1"/>
  <c r="C25" i="1"/>
  <c r="H24" i="1"/>
  <c r="C24" i="1" s="1"/>
  <c r="C23" i="1"/>
  <c r="F22" i="1"/>
  <c r="C22" i="1" s="1"/>
  <c r="F21" i="1"/>
  <c r="C21" i="1"/>
  <c r="F20" i="1"/>
  <c r="C20" i="1" s="1"/>
  <c r="N18" i="1"/>
  <c r="M18" i="1"/>
  <c r="K18" i="1"/>
  <c r="J18" i="1"/>
  <c r="I18" i="1"/>
  <c r="H18" i="1"/>
  <c r="E18" i="1"/>
  <c r="B18" i="1"/>
  <c r="L17" i="1"/>
  <c r="L18" i="1" s="1"/>
  <c r="F17" i="1"/>
  <c r="C17" i="1" s="1"/>
  <c r="L16" i="1"/>
  <c r="G16" i="1"/>
  <c r="G18" i="1" s="1"/>
  <c r="G28" i="1" s="1"/>
  <c r="F16" i="1"/>
  <c r="F18" i="1" s="1"/>
  <c r="D16" i="1"/>
  <c r="C15" i="1"/>
  <c r="C14" i="1"/>
  <c r="C13" i="1"/>
  <c r="C12" i="1"/>
  <c r="C11" i="1"/>
  <c r="C10" i="1"/>
  <c r="C9" i="1"/>
  <c r="C8" i="1"/>
  <c r="C7" i="1"/>
  <c r="D6" i="1"/>
  <c r="C6" i="1" s="1"/>
  <c r="E28" i="1" l="1"/>
  <c r="J28" i="1"/>
  <c r="N28" i="1"/>
  <c r="C8" i="2"/>
  <c r="C58" i="2"/>
  <c r="C61" i="2" s="1"/>
  <c r="C72" i="2" s="1"/>
  <c r="C84" i="2"/>
  <c r="C96" i="2" s="1"/>
  <c r="C99" i="2" s="1"/>
  <c r="C134" i="2"/>
  <c r="C137" i="2" s="1"/>
  <c r="C148" i="2" s="1"/>
  <c r="C160" i="2"/>
  <c r="C27" i="1"/>
  <c r="B28" i="1"/>
  <c r="H27" i="1"/>
  <c r="H28" i="1" s="1"/>
  <c r="L28" i="1"/>
  <c r="C438" i="2"/>
  <c r="I28" i="1"/>
  <c r="M28" i="1"/>
  <c r="B438" i="2"/>
  <c r="C452" i="2"/>
  <c r="C20" i="2"/>
  <c r="C23" i="2" s="1"/>
  <c r="C34" i="2" s="1"/>
  <c r="C172" i="2"/>
  <c r="C175" i="2" s="1"/>
  <c r="C186" i="2" s="1"/>
  <c r="C110" i="2"/>
  <c r="D134" i="2"/>
  <c r="D137" i="2" s="1"/>
  <c r="D58" i="2"/>
  <c r="D61" i="2" s="1"/>
  <c r="C198" i="2"/>
  <c r="C211" i="2" s="1"/>
  <c r="C214" i="2" s="1"/>
  <c r="C226" i="2" s="1"/>
  <c r="O8" i="2"/>
  <c r="P8" i="2" s="1"/>
  <c r="O20" i="2"/>
  <c r="P20" i="2" s="1"/>
  <c r="C236" i="2"/>
  <c r="C249" i="2" s="1"/>
  <c r="C252" i="2" s="1"/>
  <c r="C264" i="2" s="1"/>
  <c r="C274" i="2"/>
  <c r="C287" i="2" s="1"/>
  <c r="C290" i="2" s="1"/>
  <c r="C302" i="2" s="1"/>
  <c r="C312" i="2"/>
  <c r="C325" i="2" s="1"/>
  <c r="C328" i="2" s="1"/>
  <c r="C340" i="2" s="1"/>
  <c r="C350" i="2"/>
  <c r="C363" i="2" s="1"/>
  <c r="C366" i="2" s="1"/>
  <c r="C378" i="2" s="1"/>
  <c r="C388" i="2"/>
  <c r="C401" i="2" s="1"/>
  <c r="C404" i="2" s="1"/>
  <c r="C416" i="2" s="1"/>
  <c r="C16" i="1"/>
  <c r="C18" i="1" s="1"/>
  <c r="C28" i="1" s="1"/>
  <c r="C39" i="1" s="1"/>
  <c r="F27" i="1"/>
  <c r="F28" i="1" s="1"/>
  <c r="D18" i="1"/>
  <c r="D28" i="1" s="1"/>
</calcChain>
</file>

<file path=xl/sharedStrings.xml><?xml version="1.0" encoding="utf-8"?>
<sst xmlns="http://schemas.openxmlformats.org/spreadsheetml/2006/main" count="770" uniqueCount="120">
  <si>
    <t>เทศบาลตำบลจันจว้า</t>
  </si>
  <si>
    <t>งบแสดงผลการดำเนินงานจ่ายจากเงินรายรับ</t>
  </si>
  <si>
    <t>ตั้งแต่วันที่  1  ตุลาคม  2556  ถึงวันที่  30  กันยายน  2557</t>
  </si>
  <si>
    <t>รายการ</t>
  </si>
  <si>
    <t>ประมาณการ</t>
  </si>
  <si>
    <t>รวม</t>
  </si>
  <si>
    <t>บริหารงานทั่วไป</t>
  </si>
  <si>
    <t>การรักษาความสงบภายใน</t>
  </si>
  <si>
    <t>การศึกษา</t>
  </si>
  <si>
    <t>สาธารณสุข</t>
  </si>
  <si>
    <t>สังคมสงเคราะห์</t>
  </si>
  <si>
    <t>เคหะและชุมชน</t>
  </si>
  <si>
    <t>สร้างความเข้มแข็งของชุมชน</t>
  </si>
  <si>
    <t>การศาสนาวัฒนธรรมและนันทนาการ</t>
  </si>
  <si>
    <t>อุตสาหกรรมและการโยธา</t>
  </si>
  <si>
    <t>การเกษตร</t>
  </si>
  <si>
    <t>งบกลาง</t>
  </si>
  <si>
    <t>รายจ่าย</t>
  </si>
  <si>
    <t>เงินเดือน</t>
  </si>
  <si>
    <t>ค่าจ้างประจำ</t>
  </si>
  <si>
    <t>ค่าจ้างชั่วคราว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</si>
  <si>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</si>
  <si>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</si>
  <si>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</si>
  <si>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</si>
  <si>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</si>
  <si>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รายจ่ายอื่น</t>
  </si>
  <si>
    <t>ค่าครุภัณฑ์ (หมายเหตุ 1)</t>
  </si>
  <si>
    <t>ค่าที่ดินและสิ่งก่อสร้าง (หมายเหตุ 2)</t>
  </si>
  <si>
    <t>เงินอุดหนุนเฉพาะกิจ</t>
  </si>
  <si>
    <t xml:space="preserve"> - เงินเดือน</t>
  </si>
  <si>
    <t xml:space="preserve"> - ค่าตอบแทน</t>
  </si>
  <si>
    <t xml:space="preserve"> - ค่าใช้สอย</t>
  </si>
  <si>
    <t xml:space="preserve"> - ค่าวัสดุ</t>
  </si>
  <si>
    <t xml:space="preserve"> - งบกลาง</t>
  </si>
  <si>
    <t xml:space="preserve"> - ค่าครุภัณฑ์ </t>
  </si>
  <si>
    <t xml:space="preserve"> - ค่าที่ดินและสิ่งก่อสร้าง </t>
  </si>
  <si>
    <t>รวมรายจ่าย</t>
  </si>
  <si>
    <t>รายรับ</t>
  </si>
  <si>
    <t>ภาษีอากร</t>
  </si>
  <si>
    <t>ค่าธรรมเนียมค่าปรับและใบอนุญาต</t>
  </si>
  <si>
    <t>รายได้จากทรัพย์สิน</t>
  </si>
  <si>
    <t>รายได้เบ็ดเตล็ด</t>
  </si>
  <si>
    <t>รายได้จากทุน</t>
  </si>
  <si>
    <t>รัฐบาลจัดสรรให้</t>
  </si>
  <si>
    <t>เงินอุดหนุนทั่วไป</t>
  </si>
  <si>
    <t>รวมรายรับ</t>
  </si>
  <si>
    <t>รายรับสูงกว่ารายจ่าย</t>
  </si>
  <si>
    <t>เทศบาลตำบลจันจว้า   อำเภอแม่จัน  จังหวัดเชียงราย</t>
  </si>
  <si>
    <t>ตั้งแต่วันที่  1  เดือน   ตุลาคม  พ.ศ.  2557  ถึงวันที่  31  เดือน  ตุลาคม   พ.ศ.  2557</t>
  </si>
  <si>
    <t xml:space="preserve"> </t>
  </si>
  <si>
    <t>บริหารงาน</t>
  </si>
  <si>
    <t>การรักษา</t>
  </si>
  <si>
    <t>สังคม</t>
  </si>
  <si>
    <t>เคหะ</t>
  </si>
  <si>
    <t>สร้างความ</t>
  </si>
  <si>
    <t>การศาสนา</t>
  </si>
  <si>
    <t>อุตสาหกรรม</t>
  </si>
  <si>
    <t>ทั่วไป</t>
  </si>
  <si>
    <t>ความสงบ</t>
  </si>
  <si>
    <t>สงเคราะห์</t>
  </si>
  <si>
    <t>และชุมชน</t>
  </si>
  <si>
    <t>เข้มแข็ง</t>
  </si>
  <si>
    <t>วัฒนธรรม</t>
  </si>
  <si>
    <t>และ</t>
  </si>
  <si>
    <t>ภายใน</t>
  </si>
  <si>
    <t>ชุนชน</t>
  </si>
  <si>
    <t>นันทนาการ</t>
  </si>
  <si>
    <t>การโยธา</t>
  </si>
  <si>
    <t xml:space="preserve">       เงินเดือน</t>
  </si>
  <si>
    <t xml:space="preserve">       ค่าจ้างประจำ</t>
  </si>
  <si>
    <t xml:space="preserve">       ค่าจ้างชั่วคราว</t>
  </si>
  <si>
    <t xml:space="preserve">       ค่าตอบแทน</t>
  </si>
  <si>
    <t xml:space="preserve">       ค่าใช้สอย</t>
  </si>
  <si>
    <t xml:space="preserve">       ค่าวัสดุ</t>
  </si>
  <si>
    <t xml:space="preserve">       ค่าสาธารณูปโภค</t>
  </si>
  <si>
    <t xml:space="preserve">       เงินอุดหนุน</t>
  </si>
  <si>
    <t xml:space="preserve">      รายจ่ายอื่น</t>
  </si>
  <si>
    <t xml:space="preserve">       งบกลาง</t>
  </si>
  <si>
    <t xml:space="preserve">       ค่าครุภัณฑ์ (หมายเหตุ 1)</t>
  </si>
  <si>
    <t xml:space="preserve">       ค่าที่ดินและสิ่งก่อสร้าง(หมายเหตุ 2)</t>
  </si>
  <si>
    <t xml:space="preserve">                รวมรายจ่าย</t>
  </si>
  <si>
    <t>เงินอุดหนุนทั่วไปกำหนดวัตถุประสงค์</t>
  </si>
  <si>
    <t xml:space="preserve">             รวมรายจ่ายทั้งสิ้น</t>
  </si>
  <si>
    <t xml:space="preserve">        ภาษีอากร</t>
  </si>
  <si>
    <t xml:space="preserve">       ค่าธรรมเนียมค่าปรับฯ</t>
  </si>
  <si>
    <t xml:space="preserve">       รายได้จากทรัพย์สิน</t>
  </si>
  <si>
    <t xml:space="preserve">       รายได้เบ็ดเตล็ด</t>
  </si>
  <si>
    <t xml:space="preserve">       รายได้รัฐบาลจัดสรรให้</t>
  </si>
  <si>
    <t xml:space="preserve">       เงินอุดหนุนทั่วไปตามแผนการกระจายฯ</t>
  </si>
  <si>
    <t xml:space="preserve">       เงินอุดหนุนทั่วไปกำหนดวัตถุประสงค์</t>
  </si>
  <si>
    <t xml:space="preserve">       เงินอุดหนุนเฉพาะกิจ</t>
  </si>
  <si>
    <t xml:space="preserve">        รวมรายรับทั้งสิ้น</t>
  </si>
  <si>
    <t>รายรับ สูงกว่า รายจ่าย</t>
  </si>
  <si>
    <t>ตั้งแต่วันที่  1  เดือน   ตุลาคม  พ.ศ.  2557  ถึงวันที่  30    เดือน  พฤศจิกายน   พ.ศ.  2557</t>
  </si>
  <si>
    <t>ตั้งแต่วันที่  1  เดือน   ตุลาคม  พ.ศ.  2557  ถึงวันที่  31    เดือน  ธันวาคม   พ.ศ.  2557</t>
  </si>
  <si>
    <t>ตั้งแต่วันที่  1  เดือน   ตุลาคม  พ.ศ.  2557  ถึงวันที่  31    เดือน  มกราคม   พ.ศ.  2558</t>
  </si>
  <si>
    <t>ตั้งแต่วันที่  1  เดือน   ตุลาคม  พ.ศ.  2557  ถึงวันที่  28    เดือน  กุมภาพันธ์   พ.ศ.  2558</t>
  </si>
  <si>
    <t>ตั้งแต่วันที่  1  เดือน   ตุลาคม  พ.ศ.  2557  ถึงวันที่  31    เดือน  มีนาคม   พ.ศ.  2558</t>
  </si>
  <si>
    <t xml:space="preserve">       ค่าที่ดินและสิ่งก่อสร้าง(เงินกู้กสท.)</t>
  </si>
  <si>
    <t xml:space="preserve">       เงินกู้กสท.</t>
  </si>
  <si>
    <t>ตั้งแต่วันที่  1  เดือน   ตุลาคม  พ.ศ.  2557  ถึงวันที่  30    เดือน  เมษายน   พ.ศ.  2558</t>
  </si>
  <si>
    <t>ตั้งแต่วันที่  1  เดือน   ตุลาคม  พ.ศ.  2557  ถึงวันที่  31    เดือน  พฤษภาคม   พ.ศ.  2558</t>
  </si>
  <si>
    <t>ตั้งแต่วันที่  1  เดือน   ตุลาคม  พ.ศ.  2557  ถึงวันที่  30    เดือน  มิถุนายน   พ.ศ.  2558</t>
  </si>
  <si>
    <t>ตั้งแต่วันที่  1  เดือน   ตุลาคม  พ.ศ.  2557  ถึงวันที่  31    เดือน  กรกฎาคม   พ.ศ.  2558</t>
  </si>
  <si>
    <t>ตั้งแต่วันที่  1  เดือน   ตุลาคม  พ.ศ.  2557  ถึงวันที่  31    เดือน  สิงหาคม   พ.ศ.  2558</t>
  </si>
  <si>
    <t>ตั้งแต่วันที่  1  เดือน   ตุลาคม  พ.ศ.  2557  ถึงวันที่  30    เดือน  กันยายน   พ.ศ.  2558</t>
  </si>
  <si>
    <t>เงินเดือน  (ฝ่ายการเมือง)</t>
  </si>
  <si>
    <t>เงินเดือน  (ฝ่ายประจำ)</t>
  </si>
  <si>
    <t>ค่าที่ดินและสิ่งก่อสร้าง(หมายเหตุ 2)</t>
  </si>
  <si>
    <t>หมวดภาษีอากร</t>
  </si>
  <si>
    <t>หมวดค่าธรรมเนียมค่าปรับและใบอนุญาต</t>
  </si>
  <si>
    <t>หมวดรายได้จากทรัพย์สิน</t>
  </si>
  <si>
    <t>หมวดรายได้จากค่าสาธารณูปโภคและการพาณิชย์</t>
  </si>
  <si>
    <t>หมวดรายได้เบ็ดเตล็ด</t>
  </si>
  <si>
    <t>หมวดรายได้จากทุน</t>
  </si>
  <si>
    <t>หมวดภาษีจัดสรร</t>
  </si>
  <si>
    <t>หมวดเงินอุดหนุนทั่วไป</t>
  </si>
  <si>
    <t>หมวดเงินอุดหนุนระบุวัตถุประสงค์</t>
  </si>
  <si>
    <t>หมวดเงินอุดหนุนเฉพาะกิจ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</si>
</sst>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b/>
      <sz val="14"/>
      <color indexed="8"/>
      <name val="TH SarabunPSK"/>
      <family val="2"/>
    </font>
    <font>
      <b/>
      <sz val="14"/>
      <color indexed="10"/>
      <name val="TH SarabunPSK"/>
      <family val="2"/>
    </font>
    <font>
      <sz val="14"/>
      <color indexed="8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3" fontId="3" fillId="0" borderId="4" xfId="1" applyFont="1" applyBorder="1"/>
    <xf numFmtId="43" fontId="3" fillId="0" borderId="4" xfId="1" applyFont="1" applyBorder="1" applyAlignment="1">
      <alignment horizontal="right"/>
    </xf>
    <xf numFmtId="43" fontId="3" fillId="0" borderId="5" xfId="1" applyFont="1" applyBorder="1" applyAlignment="1">
      <alignment horizontal="right"/>
    </xf>
    <xf numFmtId="43" fontId="3" fillId="0" borderId="4" xfId="1" applyFont="1" applyBorder="1" applyAlignment="1"/>
    <xf numFmtId="43" fontId="3" fillId="0" borderId="0" xfId="0" applyNumberFormat="1" applyFont="1" applyFill="1" applyAlignment="1">
      <alignment vertical="center"/>
    </xf>
    <xf numFmtId="43" fontId="3" fillId="0" borderId="6" xfId="1" applyFont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43" fontId="3" fillId="0" borderId="3" xfId="1" applyFont="1" applyBorder="1" applyAlignment="1">
      <alignment horizontal="right"/>
    </xf>
    <xf numFmtId="0" fontId="2" fillId="0" borderId="4" xfId="0" applyFont="1" applyFill="1" applyBorder="1" applyAlignment="1">
      <alignment vertical="center"/>
    </xf>
    <xf numFmtId="43" fontId="3" fillId="0" borderId="4" xfId="1" applyFont="1" applyFill="1" applyBorder="1" applyAlignment="1">
      <alignment vertical="center"/>
    </xf>
    <xf numFmtId="43" fontId="3" fillId="0" borderId="2" xfId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3" fontId="3" fillId="0" borderId="5" xfId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10" xfId="1" applyFont="1" applyFill="1" applyBorder="1" applyAlignment="1">
      <alignment vertical="center"/>
    </xf>
    <xf numFmtId="43" fontId="3" fillId="0" borderId="0" xfId="1" applyFont="1" applyFill="1" applyAlignment="1">
      <alignment vertical="center"/>
    </xf>
    <xf numFmtId="0" fontId="4" fillId="0" borderId="0" xfId="0" applyFont="1"/>
    <xf numFmtId="43" fontId="3" fillId="0" borderId="0" xfId="1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/>
    <xf numFmtId="0" fontId="6" fillId="0" borderId="0" xfId="0" applyFont="1"/>
    <xf numFmtId="43" fontId="2" fillId="0" borderId="0" xfId="1" applyFont="1"/>
    <xf numFmtId="0" fontId="2" fillId="0" borderId="0" xfId="0" applyFont="1"/>
    <xf numFmtId="43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4" xfId="0" applyFont="1" applyBorder="1"/>
    <xf numFmtId="0" fontId="3" fillId="0" borderId="5" xfId="0" applyFont="1" applyBorder="1"/>
    <xf numFmtId="43" fontId="3" fillId="0" borderId="5" xfId="1" applyFont="1" applyBorder="1"/>
    <xf numFmtId="0" fontId="3" fillId="0" borderId="4" xfId="0" applyFont="1" applyBorder="1"/>
    <xf numFmtId="43" fontId="7" fillId="0" borderId="4" xfId="1" applyFont="1" applyBorder="1" applyAlignment="1">
      <alignment horizontal="right"/>
    </xf>
    <xf numFmtId="43" fontId="4" fillId="0" borderId="0" xfId="0" applyNumberFormat="1" applyFont="1"/>
    <xf numFmtId="187" fontId="3" fillId="0" borderId="0" xfId="0" applyNumberFormat="1" applyFont="1"/>
    <xf numFmtId="43" fontId="7" fillId="0" borderId="5" xfId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3" fontId="3" fillId="0" borderId="7" xfId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0" fontId="2" fillId="0" borderId="2" xfId="0" applyFont="1" applyBorder="1"/>
    <xf numFmtId="43" fontId="3" fillId="0" borderId="2" xfId="1" applyFont="1" applyBorder="1" applyAlignment="1">
      <alignment horizontal="right"/>
    </xf>
    <xf numFmtId="43" fontId="7" fillId="0" borderId="2" xfId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0" fontId="2" fillId="0" borderId="0" xfId="0" applyFont="1" applyBorder="1"/>
    <xf numFmtId="3" fontId="2" fillId="0" borderId="13" xfId="0" applyNumberFormat="1" applyFont="1" applyBorder="1" applyAlignment="1">
      <alignment horizontal="right"/>
    </xf>
    <xf numFmtId="43" fontId="2" fillId="0" borderId="14" xfId="1" applyFont="1" applyBorder="1" applyAlignment="1">
      <alignment horizontal="right"/>
    </xf>
    <xf numFmtId="43" fontId="2" fillId="0" borderId="5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8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B16" sqref="B16"/>
    </sheetView>
  </sheetViews>
  <sheetFormatPr defaultRowHeight="18.75" x14ac:dyDescent="0.2"/>
  <cols>
    <col min="1" max="1" width="23" style="1" customWidth="1"/>
    <col min="2" max="2" width="12.125" style="29" customWidth="1"/>
    <col min="3" max="3" width="13.75" style="29" customWidth="1"/>
    <col min="4" max="14" width="12.125" style="29" customWidth="1"/>
    <col min="15" max="16384" width="9" style="1"/>
  </cols>
  <sheetData>
    <row r="1" spans="1:16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6" x14ac:dyDescent="0.2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6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6" ht="56.25" x14ac:dyDescent="0.2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</row>
    <row r="5" spans="1:16" x14ac:dyDescent="0.2">
      <c r="A5" s="4" t="s">
        <v>17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x14ac:dyDescent="0.3">
      <c r="A6" s="6" t="s">
        <v>18</v>
      </c>
      <c r="B6" s="7">
        <v>18494668</v>
      </c>
      <c r="C6" s="8">
        <f t="shared" ref="C6:C17" si="0">+D6+E6+F6+G6+H6+I6+J6+K6+L6+M6+N6</f>
        <v>18439295</v>
      </c>
      <c r="D6" s="8">
        <f>2848320+5114825</f>
        <v>7963145</v>
      </c>
      <c r="E6" s="9">
        <v>124309</v>
      </c>
      <c r="F6" s="8">
        <v>6755790</v>
      </c>
      <c r="G6" s="8">
        <v>1145435</v>
      </c>
      <c r="H6" s="9">
        <v>357090</v>
      </c>
      <c r="I6" s="9">
        <v>0</v>
      </c>
      <c r="J6" s="9">
        <v>0</v>
      </c>
      <c r="K6" s="9">
        <v>330006</v>
      </c>
      <c r="L6" s="9">
        <v>1763520</v>
      </c>
      <c r="M6" s="8">
        <v>0</v>
      </c>
      <c r="N6" s="8">
        <v>0</v>
      </c>
    </row>
    <row r="7" spans="1:16" x14ac:dyDescent="0.3">
      <c r="A7" s="6" t="s">
        <v>19</v>
      </c>
      <c r="B7" s="7">
        <v>494520</v>
      </c>
      <c r="C7" s="8">
        <f t="shared" si="0"/>
        <v>493860</v>
      </c>
      <c r="D7" s="8">
        <v>332580</v>
      </c>
      <c r="E7" s="9">
        <v>0</v>
      </c>
      <c r="F7" s="8">
        <v>0</v>
      </c>
      <c r="G7" s="8">
        <v>0</v>
      </c>
      <c r="H7" s="9">
        <v>0</v>
      </c>
      <c r="I7" s="9">
        <v>0</v>
      </c>
      <c r="J7" s="9">
        <v>0</v>
      </c>
      <c r="K7" s="9">
        <v>0</v>
      </c>
      <c r="L7" s="9">
        <v>161280</v>
      </c>
      <c r="M7" s="8">
        <v>0</v>
      </c>
      <c r="N7" s="8">
        <v>0</v>
      </c>
    </row>
    <row r="8" spans="1:16" x14ac:dyDescent="0.3">
      <c r="A8" s="6" t="s">
        <v>20</v>
      </c>
      <c r="B8" s="7">
        <v>8435962</v>
      </c>
      <c r="C8" s="8">
        <f t="shared" si="0"/>
        <v>8413571</v>
      </c>
      <c r="D8" s="8">
        <v>1765560</v>
      </c>
      <c r="E8" s="9">
        <v>1254951</v>
      </c>
      <c r="F8" s="8">
        <v>2268000</v>
      </c>
      <c r="G8" s="8">
        <v>350200</v>
      </c>
      <c r="H8" s="9">
        <v>0</v>
      </c>
      <c r="I8" s="9">
        <v>1121000</v>
      </c>
      <c r="J8" s="9">
        <v>0</v>
      </c>
      <c r="K8" s="9">
        <v>112100</v>
      </c>
      <c r="L8" s="9">
        <v>1541760</v>
      </c>
      <c r="M8" s="8">
        <v>0</v>
      </c>
      <c r="N8" s="8">
        <v>0</v>
      </c>
    </row>
    <row r="9" spans="1:16" x14ac:dyDescent="0.3">
      <c r="A9" s="6" t="s">
        <v>21</v>
      </c>
      <c r="B9" s="7">
        <v>942112</v>
      </c>
      <c r="C9" s="8">
        <f t="shared" si="0"/>
        <v>901748</v>
      </c>
      <c r="D9" s="8">
        <v>474863</v>
      </c>
      <c r="E9" s="9">
        <v>15023</v>
      </c>
      <c r="F9" s="8">
        <v>57481</v>
      </c>
      <c r="G9" s="8">
        <v>145403</v>
      </c>
      <c r="H9" s="9">
        <v>7086</v>
      </c>
      <c r="I9" s="9">
        <v>0</v>
      </c>
      <c r="J9" s="9">
        <v>0</v>
      </c>
      <c r="K9" s="9">
        <v>0</v>
      </c>
      <c r="L9" s="9">
        <v>201892</v>
      </c>
      <c r="M9" s="8">
        <v>0</v>
      </c>
      <c r="N9" s="8">
        <v>0</v>
      </c>
    </row>
    <row r="10" spans="1:16" x14ac:dyDescent="0.3">
      <c r="A10" s="6" t="s">
        <v>22</v>
      </c>
      <c r="B10" s="7">
        <v>18281752</v>
      </c>
      <c r="C10" s="8">
        <f t="shared" si="0"/>
        <v>14803399.550000001</v>
      </c>
      <c r="D10" s="8">
        <v>2041038.13</v>
      </c>
      <c r="E10" s="9">
        <v>452718.42</v>
      </c>
      <c r="F10" s="8">
        <v>7648843</v>
      </c>
      <c r="G10" s="8">
        <v>280804</v>
      </c>
      <c r="H10" s="9">
        <v>14259</v>
      </c>
      <c r="I10" s="9">
        <v>822260</v>
      </c>
      <c r="J10" s="9">
        <v>592335</v>
      </c>
      <c r="K10" s="9">
        <v>1463681</v>
      </c>
      <c r="L10" s="9">
        <v>1429006</v>
      </c>
      <c r="M10" s="8">
        <v>58455</v>
      </c>
      <c r="N10" s="8">
        <v>0</v>
      </c>
    </row>
    <row r="11" spans="1:16" x14ac:dyDescent="0.3">
      <c r="A11" s="6" t="s">
        <v>23</v>
      </c>
      <c r="B11" s="7">
        <v>8243069</v>
      </c>
      <c r="C11" s="8">
        <f t="shared" si="0"/>
        <v>8164803.9000000004</v>
      </c>
      <c r="D11" s="8">
        <v>1327259.56</v>
      </c>
      <c r="E11" s="9">
        <v>166980</v>
      </c>
      <c r="F11" s="8">
        <v>2010202.22</v>
      </c>
      <c r="G11" s="8">
        <v>2390</v>
      </c>
      <c r="H11" s="9">
        <v>0</v>
      </c>
      <c r="I11" s="9">
        <v>1004339.22</v>
      </c>
      <c r="J11" s="9">
        <v>0</v>
      </c>
      <c r="K11" s="9">
        <v>5000</v>
      </c>
      <c r="L11" s="9">
        <v>3617632.9</v>
      </c>
      <c r="M11" s="8">
        <v>31000</v>
      </c>
      <c r="N11" s="8">
        <v>0</v>
      </c>
    </row>
    <row r="12" spans="1:16" x14ac:dyDescent="0.3">
      <c r="A12" s="6" t="s">
        <v>24</v>
      </c>
      <c r="B12" s="7">
        <v>1204100</v>
      </c>
      <c r="C12" s="8">
        <f t="shared" si="0"/>
        <v>1194766.21</v>
      </c>
      <c r="D12" s="8">
        <v>987949.42</v>
      </c>
      <c r="E12" s="9">
        <v>0</v>
      </c>
      <c r="F12" s="9">
        <v>197594.35</v>
      </c>
      <c r="G12" s="8">
        <v>0</v>
      </c>
      <c r="H12" s="9">
        <v>0</v>
      </c>
      <c r="I12" s="9">
        <v>0</v>
      </c>
      <c r="J12" s="9">
        <v>0</v>
      </c>
      <c r="K12" s="9">
        <v>9222.44</v>
      </c>
      <c r="L12" s="9">
        <v>0</v>
      </c>
      <c r="M12" s="8">
        <v>0</v>
      </c>
      <c r="N12" s="8">
        <v>0</v>
      </c>
    </row>
    <row r="13" spans="1:16" x14ac:dyDescent="0.3">
      <c r="A13" s="6" t="s">
        <v>25</v>
      </c>
      <c r="B13" s="7">
        <v>3469000</v>
      </c>
      <c r="C13" s="8">
        <f t="shared" si="0"/>
        <v>3450922.42</v>
      </c>
      <c r="D13" s="10">
        <v>110000</v>
      </c>
      <c r="E13" s="9">
        <v>250000</v>
      </c>
      <c r="F13" s="8">
        <v>2124000</v>
      </c>
      <c r="G13" s="8">
        <v>0</v>
      </c>
      <c r="H13" s="9">
        <v>0</v>
      </c>
      <c r="I13" s="9">
        <v>301922.42</v>
      </c>
      <c r="J13" s="9">
        <v>480000</v>
      </c>
      <c r="K13" s="9">
        <v>185000</v>
      </c>
      <c r="L13" s="9">
        <v>0</v>
      </c>
      <c r="M13" s="8">
        <v>0</v>
      </c>
      <c r="N13" s="8">
        <v>0</v>
      </c>
    </row>
    <row r="14" spans="1:16" x14ac:dyDescent="0.3">
      <c r="A14" s="6" t="s">
        <v>26</v>
      </c>
      <c r="B14" s="7">
        <v>5673910</v>
      </c>
      <c r="C14" s="8">
        <f t="shared" si="0"/>
        <v>5658410</v>
      </c>
      <c r="D14" s="8">
        <v>5658410</v>
      </c>
      <c r="E14" s="9">
        <v>0</v>
      </c>
      <c r="F14" s="8">
        <v>0</v>
      </c>
      <c r="G14" s="8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8">
        <v>0</v>
      </c>
      <c r="N14" s="8">
        <v>0</v>
      </c>
    </row>
    <row r="15" spans="1:16" x14ac:dyDescent="0.3">
      <c r="A15" s="6" t="s">
        <v>16</v>
      </c>
      <c r="B15" s="8">
        <v>6732907</v>
      </c>
      <c r="C15" s="8">
        <f t="shared" si="0"/>
        <v>4905333.33</v>
      </c>
      <c r="D15" s="8">
        <v>0</v>
      </c>
      <c r="E15" s="9">
        <v>0</v>
      </c>
      <c r="F15" s="8">
        <v>0</v>
      </c>
      <c r="G15" s="8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8">
        <v>0</v>
      </c>
      <c r="N15" s="8">
        <v>4905333.33</v>
      </c>
    </row>
    <row r="16" spans="1:16" x14ac:dyDescent="0.3">
      <c r="A16" s="6" t="s">
        <v>27</v>
      </c>
      <c r="B16" s="8">
        <v>1410000</v>
      </c>
      <c r="C16" s="8">
        <f t="shared" si="0"/>
        <v>1133978.69</v>
      </c>
      <c r="D16" s="8">
        <f>96794.47+88000+6000+5900+25000</f>
        <v>221694.47</v>
      </c>
      <c r="E16" s="9">
        <v>102990</v>
      </c>
      <c r="F16" s="8">
        <f>161144.07+25000</f>
        <v>186144.07</v>
      </c>
      <c r="G16" s="8">
        <f>103385+19700+85000</f>
        <v>208085</v>
      </c>
      <c r="H16" s="9">
        <v>0</v>
      </c>
      <c r="I16" s="9">
        <v>0</v>
      </c>
      <c r="J16" s="9">
        <v>0</v>
      </c>
      <c r="K16" s="9">
        <v>0</v>
      </c>
      <c r="L16" s="9">
        <f>32065.15+260000+5000+24000+25000+36000+5000+28000</f>
        <v>415065.15</v>
      </c>
      <c r="M16" s="8">
        <v>0</v>
      </c>
      <c r="N16" s="8">
        <v>0</v>
      </c>
      <c r="P16" s="11"/>
    </row>
    <row r="17" spans="1:16" x14ac:dyDescent="0.3">
      <c r="A17" s="6" t="s">
        <v>28</v>
      </c>
      <c r="B17" s="12">
        <v>6618000</v>
      </c>
      <c r="C17" s="8">
        <f t="shared" si="0"/>
        <v>2479910</v>
      </c>
      <c r="D17" s="8">
        <v>0</v>
      </c>
      <c r="E17" s="9">
        <v>0</v>
      </c>
      <c r="F17" s="8">
        <f>200000*2</f>
        <v>400000</v>
      </c>
      <c r="G17" s="8">
        <v>0</v>
      </c>
      <c r="H17" s="9">
        <v>0</v>
      </c>
      <c r="I17" s="9">
        <v>0</v>
      </c>
      <c r="J17" s="9">
        <v>0</v>
      </c>
      <c r="K17" s="9">
        <v>0</v>
      </c>
      <c r="L17" s="9">
        <f>368000+897500+640000+90410+84000</f>
        <v>2079910</v>
      </c>
      <c r="M17" s="8">
        <v>0</v>
      </c>
      <c r="N17" s="8">
        <v>0</v>
      </c>
      <c r="P17" s="11"/>
    </row>
    <row r="18" spans="1:16" x14ac:dyDescent="0.3">
      <c r="A18" s="13" t="s">
        <v>5</v>
      </c>
      <c r="B18" s="14">
        <f>SUM(B6:B17)</f>
        <v>80000000</v>
      </c>
      <c r="C18" s="14">
        <f t="shared" ref="C18:N18" si="1">SUM(C6:C17)</f>
        <v>70039998.099999994</v>
      </c>
      <c r="D18" s="14">
        <f t="shared" si="1"/>
        <v>20882499.579999998</v>
      </c>
      <c r="E18" s="14">
        <f t="shared" si="1"/>
        <v>2366971.42</v>
      </c>
      <c r="F18" s="14">
        <f t="shared" si="1"/>
        <v>21648054.640000001</v>
      </c>
      <c r="G18" s="14">
        <f t="shared" si="1"/>
        <v>2132317</v>
      </c>
      <c r="H18" s="14">
        <f t="shared" si="1"/>
        <v>378435</v>
      </c>
      <c r="I18" s="14">
        <f t="shared" si="1"/>
        <v>3249521.6399999997</v>
      </c>
      <c r="J18" s="14">
        <f t="shared" si="1"/>
        <v>1072335</v>
      </c>
      <c r="K18" s="14">
        <f t="shared" si="1"/>
        <v>2105009.44</v>
      </c>
      <c r="L18" s="14">
        <f t="shared" si="1"/>
        <v>11210066.050000001</v>
      </c>
      <c r="M18" s="14">
        <f t="shared" si="1"/>
        <v>89455</v>
      </c>
      <c r="N18" s="14">
        <f t="shared" si="1"/>
        <v>4905333.33</v>
      </c>
    </row>
    <row r="19" spans="1:16" x14ac:dyDescent="0.2">
      <c r="A19" s="15" t="s">
        <v>29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6" x14ac:dyDescent="0.2">
      <c r="A20" s="6" t="s">
        <v>30</v>
      </c>
      <c r="B20" s="16">
        <v>0</v>
      </c>
      <c r="C20" s="16">
        <f t="shared" ref="C20:C26" si="2">SUM(D20:N20)</f>
        <v>898732.8</v>
      </c>
      <c r="D20" s="16">
        <v>0</v>
      </c>
      <c r="E20" s="16">
        <v>0</v>
      </c>
      <c r="F20" s="16">
        <f>167940+12060+163440+16560+524932.8+13800</f>
        <v>898732.8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</row>
    <row r="21" spans="1:16" x14ac:dyDescent="0.2">
      <c r="A21" s="6" t="s">
        <v>31</v>
      </c>
      <c r="B21" s="16">
        <v>0</v>
      </c>
      <c r="C21" s="16">
        <f t="shared" si="2"/>
        <v>448064</v>
      </c>
      <c r="D21" s="16">
        <v>0</v>
      </c>
      <c r="E21" s="16">
        <v>0</v>
      </c>
      <c r="F21" s="16">
        <f>27360+37800+15935+947+82800+18325+38637+150480+65520+10260</f>
        <v>448064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</row>
    <row r="22" spans="1:16" x14ac:dyDescent="0.2">
      <c r="A22" s="6" t="s">
        <v>32</v>
      </c>
      <c r="B22" s="16">
        <v>0</v>
      </c>
      <c r="C22" s="16">
        <f t="shared" si="2"/>
        <v>2026041</v>
      </c>
      <c r="D22" s="16">
        <v>0</v>
      </c>
      <c r="E22" s="16">
        <v>0</v>
      </c>
      <c r="F22" s="16">
        <f>674040+1125501+82000+78200+66300</f>
        <v>2026041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</row>
    <row r="23" spans="1:16" x14ac:dyDescent="0.2">
      <c r="A23" s="6" t="s">
        <v>33</v>
      </c>
      <c r="B23" s="16">
        <v>0</v>
      </c>
      <c r="C23" s="16">
        <f t="shared" si="2"/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</row>
    <row r="24" spans="1:16" x14ac:dyDescent="0.2">
      <c r="A24" s="6" t="s">
        <v>34</v>
      </c>
      <c r="B24" s="16">
        <v>0</v>
      </c>
      <c r="C24" s="16">
        <f t="shared" si="2"/>
        <v>21868800</v>
      </c>
      <c r="D24" s="16">
        <v>0</v>
      </c>
      <c r="E24" s="16">
        <v>0</v>
      </c>
      <c r="F24" s="16">
        <v>0</v>
      </c>
      <c r="G24" s="16">
        <v>0</v>
      </c>
      <c r="H24" s="16">
        <f>19583100+1941000+344700</f>
        <v>21868800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</row>
    <row r="25" spans="1:16" x14ac:dyDescent="0.2">
      <c r="A25" s="6" t="s">
        <v>35</v>
      </c>
      <c r="B25" s="16">
        <v>0</v>
      </c>
      <c r="C25" s="16">
        <f t="shared" si="2"/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</row>
    <row r="26" spans="1:16" x14ac:dyDescent="0.2">
      <c r="A26" s="6" t="s">
        <v>36</v>
      </c>
      <c r="B26" s="16">
        <v>0</v>
      </c>
      <c r="C26" s="16">
        <f t="shared" si="2"/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</row>
    <row r="27" spans="1:16" x14ac:dyDescent="0.2">
      <c r="A27" s="13" t="s">
        <v>5</v>
      </c>
      <c r="B27" s="17">
        <f>SUM(B20:B26)</f>
        <v>0</v>
      </c>
      <c r="C27" s="17">
        <f t="shared" ref="C27:N27" si="3">SUM(C20:C26)</f>
        <v>25241637.800000001</v>
      </c>
      <c r="D27" s="17">
        <f t="shared" si="3"/>
        <v>0</v>
      </c>
      <c r="E27" s="17">
        <f t="shared" si="3"/>
        <v>0</v>
      </c>
      <c r="F27" s="17">
        <f t="shared" si="3"/>
        <v>3372837.8</v>
      </c>
      <c r="G27" s="17">
        <f t="shared" si="3"/>
        <v>0</v>
      </c>
      <c r="H27" s="17">
        <f t="shared" si="3"/>
        <v>21868800</v>
      </c>
      <c r="I27" s="17">
        <f t="shared" si="3"/>
        <v>0</v>
      </c>
      <c r="J27" s="17">
        <f t="shared" si="3"/>
        <v>0</v>
      </c>
      <c r="K27" s="17">
        <f t="shared" si="3"/>
        <v>0</v>
      </c>
      <c r="L27" s="17">
        <f t="shared" si="3"/>
        <v>0</v>
      </c>
      <c r="M27" s="17">
        <f t="shared" si="3"/>
        <v>0</v>
      </c>
      <c r="N27" s="17">
        <f t="shared" si="3"/>
        <v>0</v>
      </c>
    </row>
    <row r="28" spans="1:16" s="20" customFormat="1" ht="19.5" thickBot="1" x14ac:dyDescent="0.25">
      <c r="A28" s="18" t="s">
        <v>37</v>
      </c>
      <c r="B28" s="19">
        <f>SUM(B27,B18)</f>
        <v>80000000</v>
      </c>
      <c r="C28" s="19">
        <f t="shared" ref="C28:N28" si="4">SUM(C27,C18)</f>
        <v>95281635.899999991</v>
      </c>
      <c r="D28" s="19">
        <f t="shared" si="4"/>
        <v>20882499.579999998</v>
      </c>
      <c r="E28" s="19">
        <f t="shared" si="4"/>
        <v>2366971.42</v>
      </c>
      <c r="F28" s="19">
        <f t="shared" si="4"/>
        <v>25020892.440000001</v>
      </c>
      <c r="G28" s="19">
        <f t="shared" si="4"/>
        <v>2132317</v>
      </c>
      <c r="H28" s="19">
        <f t="shared" si="4"/>
        <v>22247235</v>
      </c>
      <c r="I28" s="19">
        <f t="shared" si="4"/>
        <v>3249521.6399999997</v>
      </c>
      <c r="J28" s="19">
        <f t="shared" si="4"/>
        <v>1072335</v>
      </c>
      <c r="K28" s="19">
        <f t="shared" si="4"/>
        <v>2105009.44</v>
      </c>
      <c r="L28" s="19">
        <f t="shared" si="4"/>
        <v>11210066.050000001</v>
      </c>
      <c r="M28" s="19">
        <f t="shared" si="4"/>
        <v>89455</v>
      </c>
      <c r="N28" s="19">
        <f t="shared" si="4"/>
        <v>4905333.33</v>
      </c>
    </row>
    <row r="29" spans="1:16" ht="19.5" thickTop="1" x14ac:dyDescent="0.2">
      <c r="A29" s="15" t="s">
        <v>38</v>
      </c>
      <c r="B29" s="16"/>
      <c r="C29" s="16"/>
      <c r="D29" s="21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6" x14ac:dyDescent="0.2">
      <c r="A30" s="6" t="s">
        <v>39</v>
      </c>
      <c r="B30" s="16">
        <v>985000</v>
      </c>
      <c r="C30" s="16">
        <v>1245790.05</v>
      </c>
      <c r="D30" s="21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6" x14ac:dyDescent="0.2">
      <c r="A31" s="6" t="s">
        <v>40</v>
      </c>
      <c r="B31" s="16">
        <v>574500</v>
      </c>
      <c r="C31" s="16">
        <v>778066.05</v>
      </c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6" x14ac:dyDescent="0.2">
      <c r="A32" s="6" t="s">
        <v>41</v>
      </c>
      <c r="B32" s="16">
        <v>920000</v>
      </c>
      <c r="C32" s="16">
        <v>1209111.4099999999</v>
      </c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x14ac:dyDescent="0.2">
      <c r="A33" s="6" t="s">
        <v>42</v>
      </c>
      <c r="B33" s="16">
        <v>110500</v>
      </c>
      <c r="C33" s="16">
        <v>187098</v>
      </c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">
      <c r="A34" s="6" t="s">
        <v>43</v>
      </c>
      <c r="B34" s="16">
        <v>0</v>
      </c>
      <c r="C34" s="16">
        <v>0</v>
      </c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2">
      <c r="A35" s="6" t="s">
        <v>44</v>
      </c>
      <c r="B35" s="16">
        <v>41410000</v>
      </c>
      <c r="C35" s="16">
        <v>49020423.259999998</v>
      </c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2">
      <c r="A36" s="6" t="s">
        <v>45</v>
      </c>
      <c r="B36" s="16">
        <v>36000000</v>
      </c>
      <c r="C36" s="16">
        <v>30057516</v>
      </c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2">
      <c r="A37" s="6" t="s">
        <v>29</v>
      </c>
      <c r="B37" s="16">
        <v>0</v>
      </c>
      <c r="C37" s="16">
        <v>25241637.800000001</v>
      </c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s="20" customFormat="1" ht="19.5" thickBot="1" x14ac:dyDescent="0.25">
      <c r="A38" s="23" t="s">
        <v>46</v>
      </c>
      <c r="B38" s="19">
        <f>SUM(B30:B37)</f>
        <v>80000000</v>
      </c>
      <c r="C38" s="19">
        <f>SUM(C30:C37)</f>
        <v>107739642.56999999</v>
      </c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s="20" customFormat="1" ht="20.25" thickTop="1" thickBot="1" x14ac:dyDescent="0.25">
      <c r="A39" s="26" t="s">
        <v>47</v>
      </c>
      <c r="B39" s="27"/>
      <c r="C39" s="28">
        <f>+C38-C28</f>
        <v>12458006.670000002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19.5" thickTop="1" x14ac:dyDescent="0.2"/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4"/>
  <sheetViews>
    <sheetView tabSelected="1" topLeftCell="A419" workbookViewId="0">
      <selection activeCell="A431" sqref="A431"/>
    </sheetView>
  </sheetViews>
  <sheetFormatPr defaultColWidth="32" defaultRowHeight="18.75" x14ac:dyDescent="0.3"/>
  <cols>
    <col min="1" max="1" width="32" style="32"/>
    <col min="2" max="6" width="13.5" style="32" customWidth="1"/>
    <col min="7" max="7" width="13.5" style="80" customWidth="1"/>
    <col min="8" max="14" width="13.5" style="32" customWidth="1"/>
    <col min="15" max="15" width="32" style="30"/>
    <col min="16" max="16" width="32" style="31"/>
    <col min="17" max="16384" width="32" style="32"/>
  </cols>
  <sheetData>
    <row r="1" spans="1:17" hidden="1" x14ac:dyDescent="0.3">
      <c r="A1" s="83" t="s">
        <v>48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7" hidden="1" x14ac:dyDescent="0.3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7" hidden="1" x14ac:dyDescent="0.3">
      <c r="A3" s="84" t="s">
        <v>49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7" s="39" customFormat="1" hidden="1" x14ac:dyDescent="0.3">
      <c r="A4" s="33" t="s">
        <v>50</v>
      </c>
      <c r="B4" s="33" t="s">
        <v>50</v>
      </c>
      <c r="C4" s="33" t="s">
        <v>50</v>
      </c>
      <c r="D4" s="33" t="s">
        <v>51</v>
      </c>
      <c r="E4" s="34" t="s">
        <v>52</v>
      </c>
      <c r="F4" s="33"/>
      <c r="G4" s="35"/>
      <c r="H4" s="34" t="s">
        <v>53</v>
      </c>
      <c r="I4" s="34" t="s">
        <v>54</v>
      </c>
      <c r="J4" s="34" t="s">
        <v>55</v>
      </c>
      <c r="K4" s="34" t="s">
        <v>56</v>
      </c>
      <c r="L4" s="34" t="s">
        <v>57</v>
      </c>
      <c r="M4" s="34"/>
      <c r="N4" s="36"/>
      <c r="O4" s="37"/>
      <c r="P4" s="38"/>
    </row>
    <row r="5" spans="1:17" s="39" customFormat="1" hidden="1" x14ac:dyDescent="0.3">
      <c r="A5" s="40"/>
      <c r="B5" s="41" t="s">
        <v>4</v>
      </c>
      <c r="C5" s="41" t="s">
        <v>5</v>
      </c>
      <c r="D5" s="41" t="s">
        <v>58</v>
      </c>
      <c r="E5" s="42" t="s">
        <v>59</v>
      </c>
      <c r="F5" s="41" t="s">
        <v>8</v>
      </c>
      <c r="G5" s="43" t="s">
        <v>9</v>
      </c>
      <c r="H5" s="42" t="s">
        <v>60</v>
      </c>
      <c r="I5" s="42" t="s">
        <v>61</v>
      </c>
      <c r="J5" s="42" t="s">
        <v>62</v>
      </c>
      <c r="K5" s="42" t="s">
        <v>63</v>
      </c>
      <c r="L5" s="42" t="s">
        <v>64</v>
      </c>
      <c r="M5" s="42" t="s">
        <v>15</v>
      </c>
      <c r="N5" s="41" t="s">
        <v>16</v>
      </c>
      <c r="O5" s="37"/>
      <c r="P5" s="38"/>
    </row>
    <row r="6" spans="1:17" s="39" customFormat="1" hidden="1" x14ac:dyDescent="0.3">
      <c r="A6" s="44"/>
      <c r="B6" s="44"/>
      <c r="C6" s="44"/>
      <c r="D6" s="44"/>
      <c r="E6" s="45" t="s">
        <v>65</v>
      </c>
      <c r="F6" s="44"/>
      <c r="G6" s="46"/>
      <c r="H6" s="45"/>
      <c r="I6" s="45"/>
      <c r="J6" s="45" t="s">
        <v>66</v>
      </c>
      <c r="K6" s="45" t="s">
        <v>67</v>
      </c>
      <c r="L6" s="45" t="s">
        <v>68</v>
      </c>
      <c r="M6" s="45"/>
      <c r="N6" s="47"/>
      <c r="O6" s="37"/>
      <c r="P6" s="38"/>
    </row>
    <row r="7" spans="1:17" hidden="1" x14ac:dyDescent="0.3">
      <c r="A7" s="48" t="s">
        <v>17</v>
      </c>
      <c r="B7" s="49"/>
      <c r="C7" s="50"/>
      <c r="D7" s="50" t="s">
        <v>50</v>
      </c>
      <c r="E7" s="51"/>
      <c r="F7" s="50"/>
      <c r="G7" s="52"/>
      <c r="H7" s="53"/>
      <c r="I7" s="53"/>
      <c r="J7" s="53"/>
      <c r="K7" s="53"/>
      <c r="L7" s="53"/>
      <c r="M7" s="54"/>
      <c r="N7" s="55"/>
    </row>
    <row r="8" spans="1:17" hidden="1" x14ac:dyDescent="0.3">
      <c r="A8" s="55" t="s">
        <v>69</v>
      </c>
      <c r="B8" s="8">
        <v>21294040</v>
      </c>
      <c r="C8" s="8">
        <f t="shared" ref="C8:C19" si="0">+D8+E8+F8+G8+H8+I8+J8+K8+L8+M8+N8</f>
        <v>1673560</v>
      </c>
      <c r="D8" s="8">
        <f>256000+492740</f>
        <v>748740</v>
      </c>
      <c r="E8" s="9">
        <v>15540</v>
      </c>
      <c r="F8" s="8">
        <v>605840</v>
      </c>
      <c r="G8" s="56">
        <v>88510</v>
      </c>
      <c r="H8" s="9">
        <v>39660</v>
      </c>
      <c r="I8" s="9"/>
      <c r="J8" s="9"/>
      <c r="K8" s="9">
        <v>20780</v>
      </c>
      <c r="L8" s="9">
        <v>154490</v>
      </c>
      <c r="M8" s="9"/>
      <c r="N8" s="8"/>
      <c r="O8" s="57">
        <f>+B8-C8</f>
        <v>19620480</v>
      </c>
      <c r="P8" s="31">
        <f>+O8+C8</f>
        <v>21294040</v>
      </c>
      <c r="Q8" s="58"/>
    </row>
    <row r="9" spans="1:17" hidden="1" x14ac:dyDescent="0.3">
      <c r="A9" s="55" t="s">
        <v>70</v>
      </c>
      <c r="B9" s="8">
        <v>506340</v>
      </c>
      <c r="C9" s="8">
        <f t="shared" si="0"/>
        <v>42625</v>
      </c>
      <c r="D9" s="8">
        <v>28315</v>
      </c>
      <c r="E9" s="9"/>
      <c r="F9" s="8"/>
      <c r="G9" s="56"/>
      <c r="H9" s="9"/>
      <c r="I9" s="9"/>
      <c r="J9" s="9"/>
      <c r="K9" s="9"/>
      <c r="L9" s="9">
        <v>14310</v>
      </c>
      <c r="M9" s="9"/>
      <c r="N9" s="8"/>
      <c r="O9" s="57">
        <f t="shared" ref="O9:O20" si="1">+B9-C9</f>
        <v>463715</v>
      </c>
      <c r="P9" s="31">
        <f t="shared" ref="P9:P20" si="2">+O9+C9</f>
        <v>506340</v>
      </c>
      <c r="Q9" s="58"/>
    </row>
    <row r="10" spans="1:17" hidden="1" x14ac:dyDescent="0.3">
      <c r="A10" s="55" t="s">
        <v>71</v>
      </c>
      <c r="B10" s="56">
        <v>11132360</v>
      </c>
      <c r="C10" s="8">
        <f t="shared" si="0"/>
        <v>788390</v>
      </c>
      <c r="D10" s="8">
        <v>191330</v>
      </c>
      <c r="E10" s="9">
        <v>111130</v>
      </c>
      <c r="F10" s="8">
        <v>167460</v>
      </c>
      <c r="G10" s="56">
        <v>40780</v>
      </c>
      <c r="H10" s="9"/>
      <c r="I10" s="9">
        <v>113990</v>
      </c>
      <c r="J10" s="9"/>
      <c r="K10" s="9">
        <v>11390</v>
      </c>
      <c r="L10" s="9">
        <v>152310</v>
      </c>
      <c r="M10" s="9"/>
      <c r="N10" s="8"/>
      <c r="O10" s="57">
        <f t="shared" si="1"/>
        <v>10343970</v>
      </c>
      <c r="P10" s="31">
        <f t="shared" si="2"/>
        <v>11132360</v>
      </c>
      <c r="Q10" s="58"/>
    </row>
    <row r="11" spans="1:17" hidden="1" x14ac:dyDescent="0.3">
      <c r="A11" s="55" t="s">
        <v>72</v>
      </c>
      <c r="B11" s="56">
        <v>1431210</v>
      </c>
      <c r="C11" s="8">
        <f t="shared" si="0"/>
        <v>70295</v>
      </c>
      <c r="D11" s="8">
        <v>55145</v>
      </c>
      <c r="E11" s="9">
        <v>1950</v>
      </c>
      <c r="F11" s="8"/>
      <c r="G11" s="56">
        <v>6300</v>
      </c>
      <c r="H11" s="9"/>
      <c r="I11" s="9"/>
      <c r="J11" s="9"/>
      <c r="K11" s="9"/>
      <c r="L11" s="9">
        <v>6900</v>
      </c>
      <c r="M11" s="9"/>
      <c r="N11" s="8"/>
      <c r="O11" s="57">
        <f t="shared" si="1"/>
        <v>1360915</v>
      </c>
      <c r="P11" s="31">
        <f t="shared" si="2"/>
        <v>1431210</v>
      </c>
      <c r="Q11" s="58"/>
    </row>
    <row r="12" spans="1:17" hidden="1" x14ac:dyDescent="0.3">
      <c r="A12" s="52" t="s">
        <v>73</v>
      </c>
      <c r="B12" s="8">
        <v>16784160</v>
      </c>
      <c r="C12" s="8">
        <f t="shared" si="0"/>
        <v>25325</v>
      </c>
      <c r="D12" s="56">
        <v>9325</v>
      </c>
      <c r="E12" s="59">
        <v>4180</v>
      </c>
      <c r="F12" s="56"/>
      <c r="G12" s="56">
        <v>5920</v>
      </c>
      <c r="H12" s="9"/>
      <c r="I12" s="59"/>
      <c r="J12" s="59"/>
      <c r="K12" s="59"/>
      <c r="L12" s="59">
        <v>5900</v>
      </c>
      <c r="M12" s="9"/>
      <c r="N12" s="8"/>
      <c r="O12" s="57">
        <f t="shared" si="1"/>
        <v>16758835</v>
      </c>
      <c r="P12" s="31">
        <f t="shared" si="2"/>
        <v>16784160</v>
      </c>
      <c r="Q12" s="58"/>
    </row>
    <row r="13" spans="1:17" hidden="1" x14ac:dyDescent="0.3">
      <c r="A13" s="52" t="s">
        <v>74</v>
      </c>
      <c r="B13" s="8">
        <v>5884720</v>
      </c>
      <c r="C13" s="8">
        <f t="shared" si="0"/>
        <v>52122.81</v>
      </c>
      <c r="D13" s="56">
        <v>33891.81</v>
      </c>
      <c r="E13" s="59"/>
      <c r="F13" s="56"/>
      <c r="G13" s="56"/>
      <c r="H13" s="9"/>
      <c r="I13" s="59"/>
      <c r="J13" s="59"/>
      <c r="K13" s="59"/>
      <c r="L13" s="59">
        <v>18231</v>
      </c>
      <c r="M13" s="9"/>
      <c r="N13" s="8"/>
      <c r="O13" s="57">
        <f t="shared" si="1"/>
        <v>5832597.1900000004</v>
      </c>
      <c r="P13" s="31">
        <f t="shared" si="2"/>
        <v>5884720</v>
      </c>
      <c r="Q13" s="58"/>
    </row>
    <row r="14" spans="1:17" hidden="1" x14ac:dyDescent="0.3">
      <c r="A14" s="55" t="s">
        <v>75</v>
      </c>
      <c r="B14" s="8">
        <v>1165000</v>
      </c>
      <c r="C14" s="8">
        <f t="shared" si="0"/>
        <v>103363.98000000001</v>
      </c>
      <c r="D14" s="8">
        <v>86117.66</v>
      </c>
      <c r="E14" s="9"/>
      <c r="F14" s="9">
        <v>16770.97</v>
      </c>
      <c r="G14" s="56"/>
      <c r="H14" s="9"/>
      <c r="I14" s="9"/>
      <c r="J14" s="9"/>
      <c r="K14" s="9">
        <v>475.35</v>
      </c>
      <c r="L14" s="9"/>
      <c r="M14" s="9"/>
      <c r="N14" s="8"/>
      <c r="O14" s="57">
        <f t="shared" si="1"/>
        <v>1061636.02</v>
      </c>
      <c r="P14" s="31">
        <f t="shared" si="2"/>
        <v>1165000</v>
      </c>
      <c r="Q14" s="58"/>
    </row>
    <row r="15" spans="1:17" hidden="1" x14ac:dyDescent="0.3">
      <c r="A15" s="55" t="s">
        <v>76</v>
      </c>
      <c r="B15" s="8">
        <v>3563900</v>
      </c>
      <c r="C15" s="8">
        <f t="shared" si="0"/>
        <v>0</v>
      </c>
      <c r="D15" s="10"/>
      <c r="E15" s="9"/>
      <c r="F15" s="8"/>
      <c r="G15" s="56"/>
      <c r="H15" s="9"/>
      <c r="I15" s="9"/>
      <c r="J15" s="9"/>
      <c r="K15" s="9"/>
      <c r="L15" s="9"/>
      <c r="M15" s="9"/>
      <c r="N15" s="8"/>
      <c r="O15" s="57">
        <f t="shared" si="1"/>
        <v>3563900</v>
      </c>
      <c r="P15" s="31">
        <f t="shared" si="2"/>
        <v>3563900</v>
      </c>
      <c r="Q15" s="58"/>
    </row>
    <row r="16" spans="1:17" hidden="1" x14ac:dyDescent="0.3">
      <c r="A16" s="55" t="s">
        <v>77</v>
      </c>
      <c r="B16" s="8">
        <v>10000</v>
      </c>
      <c r="C16" s="8">
        <f t="shared" si="0"/>
        <v>0</v>
      </c>
      <c r="D16" s="8"/>
      <c r="E16" s="9"/>
      <c r="F16" s="8"/>
      <c r="G16" s="56"/>
      <c r="H16" s="9"/>
      <c r="I16" s="9"/>
      <c r="J16" s="9"/>
      <c r="K16" s="9"/>
      <c r="L16" s="9"/>
      <c r="M16" s="9"/>
      <c r="N16" s="8"/>
      <c r="O16" s="57">
        <f t="shared" si="1"/>
        <v>10000</v>
      </c>
      <c r="P16" s="31">
        <f t="shared" si="2"/>
        <v>10000</v>
      </c>
      <c r="Q16" s="58"/>
    </row>
    <row r="17" spans="1:17" hidden="1" x14ac:dyDescent="0.3">
      <c r="A17" s="55" t="s">
        <v>78</v>
      </c>
      <c r="B17" s="8">
        <v>9229170</v>
      </c>
      <c r="C17" s="8">
        <f t="shared" si="0"/>
        <v>129876.5</v>
      </c>
      <c r="D17" s="8"/>
      <c r="E17" s="9"/>
      <c r="F17" s="8"/>
      <c r="G17" s="56"/>
      <c r="H17" s="9"/>
      <c r="I17" s="9"/>
      <c r="J17" s="9"/>
      <c r="K17" s="9"/>
      <c r="L17" s="9"/>
      <c r="M17" s="9"/>
      <c r="N17" s="8">
        <v>129876.5</v>
      </c>
      <c r="O17" s="57">
        <f t="shared" si="1"/>
        <v>9099293.5</v>
      </c>
      <c r="P17" s="31">
        <f t="shared" si="2"/>
        <v>9229170</v>
      </c>
      <c r="Q17" s="58"/>
    </row>
    <row r="18" spans="1:17" hidden="1" x14ac:dyDescent="0.3">
      <c r="A18" s="55" t="s">
        <v>79</v>
      </c>
      <c r="B18" s="8">
        <v>1614000</v>
      </c>
      <c r="C18" s="8">
        <f t="shared" si="0"/>
        <v>0</v>
      </c>
      <c r="D18" s="8"/>
      <c r="E18" s="9"/>
      <c r="F18" s="8"/>
      <c r="G18" s="56"/>
      <c r="H18" s="9"/>
      <c r="I18" s="9"/>
      <c r="J18" s="9"/>
      <c r="K18" s="9"/>
      <c r="L18" s="9"/>
      <c r="M18" s="9"/>
      <c r="N18" s="8"/>
      <c r="O18" s="57">
        <f t="shared" si="1"/>
        <v>1614000</v>
      </c>
      <c r="P18" s="31">
        <f t="shared" si="2"/>
        <v>1614000</v>
      </c>
      <c r="Q18" s="58"/>
    </row>
    <row r="19" spans="1:17" hidden="1" x14ac:dyDescent="0.3">
      <c r="A19" s="60" t="s">
        <v>80</v>
      </c>
      <c r="B19" s="8">
        <v>7385100</v>
      </c>
      <c r="C19" s="8">
        <f t="shared" si="0"/>
        <v>0</v>
      </c>
      <c r="D19" s="8"/>
      <c r="E19" s="9"/>
      <c r="F19" s="8"/>
      <c r="G19" s="56"/>
      <c r="H19" s="9"/>
      <c r="I19" s="9"/>
      <c r="J19" s="9"/>
      <c r="K19" s="9"/>
      <c r="L19" s="9"/>
      <c r="M19" s="9"/>
      <c r="N19" s="8"/>
      <c r="O19" s="57">
        <f t="shared" si="1"/>
        <v>7385100</v>
      </c>
      <c r="P19" s="31">
        <f t="shared" si="2"/>
        <v>7385100</v>
      </c>
      <c r="Q19" s="58"/>
    </row>
    <row r="20" spans="1:17" hidden="1" x14ac:dyDescent="0.3">
      <c r="A20" s="61" t="s">
        <v>81</v>
      </c>
      <c r="B20" s="14">
        <f t="shared" ref="B20:N20" si="3">SUM(B8:B19)</f>
        <v>80000000</v>
      </c>
      <c r="C20" s="14">
        <f t="shared" si="3"/>
        <v>2885558.29</v>
      </c>
      <c r="D20" s="14">
        <f t="shared" si="3"/>
        <v>1152864.47</v>
      </c>
      <c r="E20" s="14">
        <f t="shared" si="3"/>
        <v>132800</v>
      </c>
      <c r="F20" s="14">
        <f t="shared" si="3"/>
        <v>790070.97</v>
      </c>
      <c r="G20" s="14">
        <f t="shared" si="3"/>
        <v>141510</v>
      </c>
      <c r="H20" s="14">
        <f t="shared" si="3"/>
        <v>39660</v>
      </c>
      <c r="I20" s="14">
        <f t="shared" si="3"/>
        <v>113990</v>
      </c>
      <c r="J20" s="14">
        <f t="shared" si="3"/>
        <v>0</v>
      </c>
      <c r="K20" s="14">
        <f t="shared" si="3"/>
        <v>32645.35</v>
      </c>
      <c r="L20" s="14">
        <f t="shared" si="3"/>
        <v>352141</v>
      </c>
      <c r="M20" s="14">
        <f t="shared" si="3"/>
        <v>0</v>
      </c>
      <c r="N20" s="14">
        <f t="shared" si="3"/>
        <v>129876.5</v>
      </c>
      <c r="O20" s="57">
        <f t="shared" si="1"/>
        <v>77114441.709999993</v>
      </c>
      <c r="P20" s="31">
        <f t="shared" si="2"/>
        <v>80000000</v>
      </c>
      <c r="Q20" s="58"/>
    </row>
    <row r="21" spans="1:17" hidden="1" x14ac:dyDescent="0.3">
      <c r="A21" s="55" t="s">
        <v>82</v>
      </c>
      <c r="B21" s="8"/>
      <c r="C21" s="8">
        <f>+D21+E21+F21+G21+H21+I21+J21+K21+L21+M21+N21</f>
        <v>0</v>
      </c>
      <c r="D21" s="8"/>
      <c r="E21" s="9"/>
      <c r="F21" s="8"/>
      <c r="G21" s="56"/>
      <c r="H21" s="9"/>
      <c r="I21" s="9"/>
      <c r="J21" s="9"/>
      <c r="K21" s="9"/>
      <c r="L21" s="9"/>
      <c r="M21" s="9"/>
      <c r="N21" s="8"/>
    </row>
    <row r="22" spans="1:17" hidden="1" x14ac:dyDescent="0.3">
      <c r="A22" s="55" t="s">
        <v>29</v>
      </c>
      <c r="B22" s="8"/>
      <c r="C22" s="8">
        <f>+D22+E22+F22+G22+H22+I22+J22+K22+L22+M22+N22</f>
        <v>0</v>
      </c>
      <c r="D22" s="8"/>
      <c r="E22" s="9"/>
      <c r="F22" s="8"/>
      <c r="G22" s="56"/>
      <c r="H22" s="9"/>
      <c r="I22" s="9"/>
      <c r="J22" s="9"/>
      <c r="K22" s="9"/>
      <c r="L22" s="9"/>
      <c r="M22" s="9"/>
      <c r="N22" s="8"/>
    </row>
    <row r="23" spans="1:17" ht="19.5" hidden="1" thickBot="1" x14ac:dyDescent="0.35">
      <c r="A23" s="48" t="s">
        <v>83</v>
      </c>
      <c r="B23" s="62">
        <f>+B20</f>
        <v>80000000</v>
      </c>
      <c r="C23" s="62">
        <f t="shared" ref="C23:N23" si="4">+C20+C21+C22</f>
        <v>2885558.29</v>
      </c>
      <c r="D23" s="62">
        <f t="shared" si="4"/>
        <v>1152864.47</v>
      </c>
      <c r="E23" s="62">
        <f t="shared" si="4"/>
        <v>132800</v>
      </c>
      <c r="F23" s="62">
        <f t="shared" si="4"/>
        <v>790070.97</v>
      </c>
      <c r="G23" s="62">
        <f t="shared" si="4"/>
        <v>141510</v>
      </c>
      <c r="H23" s="62">
        <f t="shared" si="4"/>
        <v>39660</v>
      </c>
      <c r="I23" s="62">
        <f t="shared" si="4"/>
        <v>113990</v>
      </c>
      <c r="J23" s="62">
        <f t="shared" si="4"/>
        <v>0</v>
      </c>
      <c r="K23" s="62">
        <f t="shared" si="4"/>
        <v>32645.35</v>
      </c>
      <c r="L23" s="62">
        <f t="shared" si="4"/>
        <v>352141</v>
      </c>
      <c r="M23" s="62">
        <f t="shared" si="4"/>
        <v>0</v>
      </c>
      <c r="N23" s="62">
        <f t="shared" si="4"/>
        <v>129876.5</v>
      </c>
      <c r="O23" s="57"/>
    </row>
    <row r="24" spans="1:17" ht="19.5" hidden="1" thickTop="1" x14ac:dyDescent="0.3">
      <c r="A24" s="48" t="s">
        <v>38</v>
      </c>
      <c r="B24" s="63"/>
      <c r="C24" s="8"/>
      <c r="D24" s="8"/>
      <c r="E24" s="8"/>
      <c r="F24" s="8"/>
      <c r="G24" s="56"/>
      <c r="H24" s="8"/>
      <c r="I24" s="8"/>
      <c r="J24" s="8"/>
      <c r="K24" s="8"/>
      <c r="L24" s="8"/>
      <c r="M24" s="64"/>
      <c r="N24" s="8"/>
    </row>
    <row r="25" spans="1:17" hidden="1" x14ac:dyDescent="0.3">
      <c r="A25" s="55" t="s">
        <v>84</v>
      </c>
      <c r="B25" s="8">
        <v>1110000</v>
      </c>
      <c r="C25" s="8">
        <v>210.9</v>
      </c>
      <c r="D25" s="8"/>
      <c r="E25" s="8"/>
      <c r="F25" s="8"/>
      <c r="G25" s="56"/>
      <c r="H25" s="8"/>
      <c r="I25" s="8"/>
      <c r="J25" s="8"/>
      <c r="K25" s="8"/>
      <c r="L25" s="8"/>
      <c r="M25" s="64"/>
      <c r="N25" s="8"/>
    </row>
    <row r="26" spans="1:17" hidden="1" x14ac:dyDescent="0.3">
      <c r="A26" s="55" t="s">
        <v>85</v>
      </c>
      <c r="B26" s="8">
        <v>594000</v>
      </c>
      <c r="C26" s="8">
        <v>704303.14</v>
      </c>
      <c r="D26" s="8"/>
      <c r="E26" s="8"/>
      <c r="F26" s="8"/>
      <c r="G26" s="56"/>
      <c r="H26" s="8"/>
      <c r="I26" s="8"/>
      <c r="J26" s="8"/>
      <c r="K26" s="8"/>
      <c r="L26" s="8"/>
      <c r="M26" s="64"/>
      <c r="N26" s="8"/>
    </row>
    <row r="27" spans="1:17" hidden="1" x14ac:dyDescent="0.3">
      <c r="A27" s="55" t="s">
        <v>86</v>
      </c>
      <c r="B27" s="8">
        <v>1320000</v>
      </c>
      <c r="C27" s="8">
        <v>21698.63</v>
      </c>
      <c r="D27" s="8"/>
      <c r="E27" s="8"/>
      <c r="F27" s="8"/>
      <c r="G27" s="56"/>
      <c r="H27" s="8"/>
      <c r="I27" s="8"/>
      <c r="J27" s="8"/>
      <c r="K27" s="8"/>
      <c r="L27" s="8"/>
      <c r="M27" s="64"/>
      <c r="N27" s="8"/>
    </row>
    <row r="28" spans="1:17" hidden="1" x14ac:dyDescent="0.3">
      <c r="A28" s="55" t="s">
        <v>87</v>
      </c>
      <c r="B28" s="8">
        <v>116000</v>
      </c>
      <c r="C28" s="8">
        <v>74624</v>
      </c>
      <c r="D28" s="8"/>
      <c r="E28" s="8"/>
      <c r="F28" s="8"/>
      <c r="G28" s="56"/>
      <c r="H28" s="8"/>
      <c r="I28" s="8"/>
      <c r="J28" s="8"/>
      <c r="K28" s="8"/>
      <c r="L28" s="8"/>
      <c r="M28" s="64"/>
      <c r="N28" s="8"/>
    </row>
    <row r="29" spans="1:17" hidden="1" x14ac:dyDescent="0.3">
      <c r="A29" s="55" t="s">
        <v>88</v>
      </c>
      <c r="B29" s="8">
        <v>41360000</v>
      </c>
      <c r="C29" s="8">
        <v>3271165.02</v>
      </c>
      <c r="D29" s="8"/>
      <c r="E29" s="65"/>
      <c r="F29" s="8"/>
      <c r="G29" s="56"/>
      <c r="H29" s="8"/>
      <c r="I29" s="8"/>
      <c r="J29" s="8"/>
      <c r="K29" s="8"/>
      <c r="L29" s="8"/>
      <c r="M29" s="64"/>
      <c r="N29" s="8"/>
    </row>
    <row r="30" spans="1:17" hidden="1" x14ac:dyDescent="0.3">
      <c r="A30" s="55" t="s">
        <v>89</v>
      </c>
      <c r="B30" s="8">
        <v>35500000</v>
      </c>
      <c r="C30" s="8">
        <v>0</v>
      </c>
      <c r="D30" s="8"/>
      <c r="E30" s="65"/>
      <c r="F30" s="8"/>
      <c r="G30" s="56"/>
      <c r="H30" s="8"/>
      <c r="I30" s="8"/>
      <c r="J30" s="8"/>
      <c r="K30" s="8"/>
      <c r="L30" s="8"/>
      <c r="M30" s="64"/>
      <c r="N30" s="8"/>
    </row>
    <row r="31" spans="1:17" hidden="1" x14ac:dyDescent="0.3">
      <c r="A31" s="55" t="s">
        <v>90</v>
      </c>
      <c r="B31" s="8">
        <v>0</v>
      </c>
      <c r="C31" s="8">
        <v>0</v>
      </c>
      <c r="D31" s="8"/>
      <c r="E31" s="65"/>
      <c r="F31" s="8"/>
      <c r="G31" s="56"/>
      <c r="H31" s="8"/>
      <c r="I31" s="8"/>
      <c r="J31" s="8"/>
      <c r="K31" s="8"/>
      <c r="L31" s="8"/>
      <c r="M31" s="64"/>
      <c r="N31" s="8"/>
    </row>
    <row r="32" spans="1:17" hidden="1" x14ac:dyDescent="0.3">
      <c r="A32" s="55" t="s">
        <v>91</v>
      </c>
      <c r="B32" s="8">
        <v>0</v>
      </c>
      <c r="C32" s="8">
        <v>0</v>
      </c>
      <c r="D32" s="8"/>
      <c r="E32" s="8"/>
      <c r="F32" s="8"/>
      <c r="G32" s="56"/>
      <c r="H32" s="8"/>
      <c r="I32" s="8"/>
      <c r="J32" s="8"/>
      <c r="K32" s="8"/>
      <c r="L32" s="8"/>
      <c r="M32" s="64"/>
      <c r="N32" s="8"/>
    </row>
    <row r="33" spans="1:16" ht="19.5" hidden="1" thickBot="1" x14ac:dyDescent="0.35">
      <c r="A33" s="66" t="s">
        <v>92</v>
      </c>
      <c r="B33" s="62">
        <f>SUM(B25:B32)</f>
        <v>80000000</v>
      </c>
      <c r="C33" s="62">
        <f>SUM(C25:C32)</f>
        <v>4072001.69</v>
      </c>
      <c r="D33" s="67"/>
      <c r="E33" s="67"/>
      <c r="F33" s="67"/>
      <c r="G33" s="68"/>
      <c r="H33" s="67"/>
      <c r="I33" s="67"/>
      <c r="J33" s="67"/>
      <c r="K33" s="67"/>
      <c r="L33" s="67"/>
      <c r="M33" s="69"/>
      <c r="N33" s="67"/>
    </row>
    <row r="34" spans="1:16" s="39" customFormat="1" ht="20.25" hidden="1" thickTop="1" thickBot="1" x14ac:dyDescent="0.35">
      <c r="A34" s="70" t="s">
        <v>93</v>
      </c>
      <c r="B34" s="71"/>
      <c r="C34" s="72">
        <f>+C33-C23</f>
        <v>1186443.3999999999</v>
      </c>
      <c r="D34" s="73"/>
      <c r="E34" s="74"/>
      <c r="F34" s="74"/>
      <c r="G34" s="75"/>
      <c r="H34" s="74"/>
      <c r="I34" s="74"/>
      <c r="J34" s="74"/>
      <c r="K34" s="74"/>
      <c r="L34" s="74"/>
      <c r="M34" s="76"/>
      <c r="N34" s="74"/>
      <c r="O34" s="37"/>
      <c r="P34" s="38"/>
    </row>
    <row r="35" spans="1:16" s="39" customFormat="1" ht="19.5" hidden="1" thickTop="1" x14ac:dyDescent="0.3">
      <c r="A35" s="70"/>
      <c r="B35" s="77"/>
      <c r="C35" s="74"/>
      <c r="D35" s="74"/>
      <c r="E35" s="74"/>
      <c r="F35" s="74"/>
      <c r="G35" s="75"/>
      <c r="H35" s="74"/>
      <c r="I35" s="74"/>
      <c r="J35" s="74"/>
      <c r="K35" s="74"/>
      <c r="L35" s="74"/>
      <c r="M35" s="76"/>
      <c r="N35" s="74"/>
      <c r="O35" s="37"/>
      <c r="P35" s="38"/>
    </row>
    <row r="36" spans="1:16" s="39" customFormat="1" hidden="1" x14ac:dyDescent="0.3">
      <c r="A36" s="70"/>
      <c r="B36" s="77"/>
      <c r="C36" s="74"/>
      <c r="D36" s="74"/>
      <c r="E36" s="74"/>
      <c r="F36" s="74"/>
      <c r="G36" s="75"/>
      <c r="H36" s="74"/>
      <c r="I36" s="74"/>
      <c r="J36" s="74"/>
      <c r="K36" s="74"/>
      <c r="L36" s="74"/>
      <c r="M36" s="76"/>
      <c r="N36" s="74"/>
      <c r="O36" s="37"/>
      <c r="P36" s="38"/>
    </row>
    <row r="37" spans="1:16" s="39" customFormat="1" hidden="1" x14ac:dyDescent="0.3">
      <c r="A37" s="70"/>
      <c r="B37" s="77"/>
      <c r="C37" s="74"/>
      <c r="D37" s="74"/>
      <c r="E37" s="74"/>
      <c r="F37" s="74"/>
      <c r="G37" s="75"/>
      <c r="H37" s="74"/>
      <c r="I37" s="74"/>
      <c r="J37" s="74"/>
      <c r="K37" s="74"/>
      <c r="L37" s="74"/>
      <c r="M37" s="76"/>
      <c r="N37" s="74"/>
      <c r="O37" s="37"/>
      <c r="P37" s="38"/>
    </row>
    <row r="38" spans="1:16" s="39" customFormat="1" hidden="1" x14ac:dyDescent="0.3">
      <c r="A38" s="70"/>
      <c r="B38" s="77"/>
      <c r="C38" s="74"/>
      <c r="D38" s="74"/>
      <c r="E38" s="74"/>
      <c r="F38" s="74"/>
      <c r="G38" s="75"/>
      <c r="H38" s="74"/>
      <c r="I38" s="74"/>
      <c r="J38" s="74"/>
      <c r="K38" s="74"/>
      <c r="L38" s="74"/>
      <c r="M38" s="76"/>
      <c r="N38" s="74"/>
      <c r="O38" s="37"/>
      <c r="P38" s="38"/>
    </row>
    <row r="39" spans="1:16" hidden="1" x14ac:dyDescent="0.3">
      <c r="A39" s="83" t="s">
        <v>48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</row>
    <row r="40" spans="1:16" hidden="1" x14ac:dyDescent="0.3">
      <c r="A40" s="83" t="s">
        <v>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</row>
    <row r="41" spans="1:16" hidden="1" x14ac:dyDescent="0.3">
      <c r="A41" s="84" t="s">
        <v>94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6" hidden="1" x14ac:dyDescent="0.3">
      <c r="A42" s="33" t="s">
        <v>50</v>
      </c>
      <c r="B42" s="33" t="s">
        <v>50</v>
      </c>
      <c r="C42" s="33" t="s">
        <v>50</v>
      </c>
      <c r="D42" s="33" t="s">
        <v>51</v>
      </c>
      <c r="E42" s="34" t="s">
        <v>52</v>
      </c>
      <c r="F42" s="33"/>
      <c r="G42" s="35"/>
      <c r="H42" s="34" t="s">
        <v>53</v>
      </c>
      <c r="I42" s="34" t="s">
        <v>54</v>
      </c>
      <c r="J42" s="34" t="s">
        <v>55</v>
      </c>
      <c r="K42" s="34" t="s">
        <v>56</v>
      </c>
      <c r="L42" s="34" t="s">
        <v>57</v>
      </c>
      <c r="M42" s="34"/>
      <c r="N42" s="36"/>
    </row>
    <row r="43" spans="1:16" hidden="1" x14ac:dyDescent="0.3">
      <c r="A43" s="40"/>
      <c r="B43" s="41" t="s">
        <v>4</v>
      </c>
      <c r="C43" s="41" t="s">
        <v>5</v>
      </c>
      <c r="D43" s="41" t="s">
        <v>58</v>
      </c>
      <c r="E43" s="42" t="s">
        <v>59</v>
      </c>
      <c r="F43" s="41" t="s">
        <v>8</v>
      </c>
      <c r="G43" s="43" t="s">
        <v>9</v>
      </c>
      <c r="H43" s="42" t="s">
        <v>60</v>
      </c>
      <c r="I43" s="42" t="s">
        <v>61</v>
      </c>
      <c r="J43" s="42" t="s">
        <v>62</v>
      </c>
      <c r="K43" s="42" t="s">
        <v>63</v>
      </c>
      <c r="L43" s="42" t="s">
        <v>64</v>
      </c>
      <c r="M43" s="42" t="s">
        <v>15</v>
      </c>
      <c r="N43" s="41" t="s">
        <v>16</v>
      </c>
    </row>
    <row r="44" spans="1:16" hidden="1" x14ac:dyDescent="0.3">
      <c r="A44" s="44"/>
      <c r="B44" s="44"/>
      <c r="C44" s="44"/>
      <c r="D44" s="44"/>
      <c r="E44" s="45" t="s">
        <v>65</v>
      </c>
      <c r="F44" s="44"/>
      <c r="G44" s="46"/>
      <c r="H44" s="45"/>
      <c r="I44" s="45"/>
      <c r="J44" s="45" t="s">
        <v>66</v>
      </c>
      <c r="K44" s="45" t="s">
        <v>67</v>
      </c>
      <c r="L44" s="45" t="s">
        <v>68</v>
      </c>
      <c r="M44" s="45"/>
      <c r="N44" s="47"/>
    </row>
    <row r="45" spans="1:16" hidden="1" x14ac:dyDescent="0.3">
      <c r="A45" s="48" t="s">
        <v>17</v>
      </c>
      <c r="B45" s="49"/>
      <c r="C45" s="50"/>
      <c r="D45" s="50" t="s">
        <v>50</v>
      </c>
      <c r="E45" s="51"/>
      <c r="F45" s="50"/>
      <c r="G45" s="52"/>
      <c r="H45" s="53"/>
      <c r="I45" s="53"/>
      <c r="J45" s="53"/>
      <c r="K45" s="53"/>
      <c r="L45" s="53"/>
      <c r="M45" s="54"/>
      <c r="N45" s="55"/>
    </row>
    <row r="46" spans="1:16" hidden="1" x14ac:dyDescent="0.3">
      <c r="A46" s="55" t="s">
        <v>69</v>
      </c>
      <c r="B46" s="8">
        <v>21294040</v>
      </c>
      <c r="C46" s="8">
        <f t="shared" ref="C46:C57" si="5">+D46+E46+F46+G46+H46+I46+J46+K46+L46+M46+N46</f>
        <v>3339850</v>
      </c>
      <c r="D46" s="8">
        <f>512000+997510</f>
        <v>1509510</v>
      </c>
      <c r="E46" s="9">
        <v>31080</v>
      </c>
      <c r="F46" s="8">
        <v>1211680</v>
      </c>
      <c r="G46" s="56">
        <v>177020</v>
      </c>
      <c r="H46" s="9">
        <v>60020</v>
      </c>
      <c r="I46" s="9"/>
      <c r="J46" s="9"/>
      <c r="K46" s="9">
        <v>41560</v>
      </c>
      <c r="L46" s="9">
        <v>308980</v>
      </c>
      <c r="M46" s="9"/>
      <c r="N46" s="8"/>
    </row>
    <row r="47" spans="1:16" hidden="1" x14ac:dyDescent="0.3">
      <c r="A47" s="55" t="s">
        <v>70</v>
      </c>
      <c r="B47" s="8">
        <v>506340</v>
      </c>
      <c r="C47" s="8">
        <f t="shared" si="5"/>
        <v>85250</v>
      </c>
      <c r="D47" s="8">
        <v>56630</v>
      </c>
      <c r="E47" s="9"/>
      <c r="F47" s="8"/>
      <c r="G47" s="56"/>
      <c r="H47" s="9"/>
      <c r="I47" s="9"/>
      <c r="J47" s="9"/>
      <c r="K47" s="9"/>
      <c r="L47" s="9">
        <v>28620</v>
      </c>
      <c r="M47" s="9"/>
      <c r="N47" s="8"/>
    </row>
    <row r="48" spans="1:16" hidden="1" x14ac:dyDescent="0.3">
      <c r="A48" s="55" t="s">
        <v>71</v>
      </c>
      <c r="B48" s="56">
        <v>11132360</v>
      </c>
      <c r="C48" s="8">
        <f t="shared" si="5"/>
        <v>1576780</v>
      </c>
      <c r="D48" s="8">
        <v>382660</v>
      </c>
      <c r="E48" s="9">
        <v>222260</v>
      </c>
      <c r="F48" s="8">
        <v>334920</v>
      </c>
      <c r="G48" s="56">
        <v>81560</v>
      </c>
      <c r="H48" s="9"/>
      <c r="I48" s="9">
        <v>227980</v>
      </c>
      <c r="J48" s="9"/>
      <c r="K48" s="9">
        <v>22780</v>
      </c>
      <c r="L48" s="9">
        <v>304620</v>
      </c>
      <c r="M48" s="9"/>
      <c r="N48" s="8"/>
    </row>
    <row r="49" spans="1:14" hidden="1" x14ac:dyDescent="0.3">
      <c r="A49" s="55" t="s">
        <v>72</v>
      </c>
      <c r="B49" s="56">
        <v>1431210</v>
      </c>
      <c r="C49" s="8">
        <f t="shared" si="5"/>
        <v>129974</v>
      </c>
      <c r="D49" s="8">
        <f>89669-300</f>
        <v>89369</v>
      </c>
      <c r="E49" s="9">
        <v>4900</v>
      </c>
      <c r="F49" s="8">
        <v>5000</v>
      </c>
      <c r="G49" s="56">
        <v>16905</v>
      </c>
      <c r="H49" s="9"/>
      <c r="I49" s="9"/>
      <c r="J49" s="9"/>
      <c r="K49" s="9"/>
      <c r="L49" s="9">
        <v>13800</v>
      </c>
      <c r="M49" s="9"/>
      <c r="N49" s="8"/>
    </row>
    <row r="50" spans="1:14" hidden="1" x14ac:dyDescent="0.3">
      <c r="A50" s="52" t="s">
        <v>73</v>
      </c>
      <c r="B50" s="8">
        <v>16774160</v>
      </c>
      <c r="C50" s="8">
        <f t="shared" si="5"/>
        <v>895725</v>
      </c>
      <c r="D50" s="56">
        <f>87858+300+1020</f>
        <v>89178</v>
      </c>
      <c r="E50" s="59">
        <v>39260</v>
      </c>
      <c r="F50" s="56">
        <v>313672</v>
      </c>
      <c r="G50" s="56">
        <v>26790</v>
      </c>
      <c r="H50" s="9"/>
      <c r="I50" s="59">
        <v>67000</v>
      </c>
      <c r="J50" s="59">
        <v>13725</v>
      </c>
      <c r="K50" s="59">
        <v>336110</v>
      </c>
      <c r="L50" s="59">
        <v>9990</v>
      </c>
      <c r="M50" s="9"/>
      <c r="N50" s="8"/>
    </row>
    <row r="51" spans="1:14" hidden="1" x14ac:dyDescent="0.3">
      <c r="A51" s="52" t="s">
        <v>74</v>
      </c>
      <c r="B51" s="8">
        <v>5894720</v>
      </c>
      <c r="C51" s="8">
        <f t="shared" si="5"/>
        <v>188297.03</v>
      </c>
      <c r="D51" s="56">
        <f>75844.83-1020</f>
        <v>74824.83</v>
      </c>
      <c r="E51" s="59"/>
      <c r="F51" s="56"/>
      <c r="G51" s="56"/>
      <c r="H51" s="9"/>
      <c r="I51" s="59">
        <v>47251.199999999997</v>
      </c>
      <c r="J51" s="59"/>
      <c r="K51" s="59"/>
      <c r="L51" s="59">
        <v>66221</v>
      </c>
      <c r="M51" s="9"/>
      <c r="N51" s="8"/>
    </row>
    <row r="52" spans="1:14" hidden="1" x14ac:dyDescent="0.3">
      <c r="A52" s="55" t="s">
        <v>75</v>
      </c>
      <c r="B52" s="8">
        <v>1165000</v>
      </c>
      <c r="C52" s="8">
        <f t="shared" si="5"/>
        <v>190307.35</v>
      </c>
      <c r="D52" s="8">
        <v>153535.43</v>
      </c>
      <c r="E52" s="9"/>
      <c r="F52" s="9">
        <v>35806.19</v>
      </c>
      <c r="G52" s="56"/>
      <c r="H52" s="9"/>
      <c r="I52" s="9"/>
      <c r="J52" s="9"/>
      <c r="K52" s="9">
        <v>965.73</v>
      </c>
      <c r="L52" s="9"/>
      <c r="M52" s="9"/>
      <c r="N52" s="8"/>
    </row>
    <row r="53" spans="1:14" hidden="1" x14ac:dyDescent="0.3">
      <c r="A53" s="55" t="s">
        <v>76</v>
      </c>
      <c r="B53" s="8">
        <v>3563900</v>
      </c>
      <c r="C53" s="8">
        <f t="shared" si="5"/>
        <v>0</v>
      </c>
      <c r="D53" s="10"/>
      <c r="E53" s="9"/>
      <c r="F53" s="8"/>
      <c r="G53" s="56"/>
      <c r="H53" s="9"/>
      <c r="I53" s="9"/>
      <c r="J53" s="9"/>
      <c r="K53" s="9"/>
      <c r="L53" s="9"/>
      <c r="M53" s="9"/>
      <c r="N53" s="8"/>
    </row>
    <row r="54" spans="1:14" hidden="1" x14ac:dyDescent="0.3">
      <c r="A54" s="55" t="s">
        <v>77</v>
      </c>
      <c r="B54" s="8">
        <v>10000</v>
      </c>
      <c r="C54" s="8">
        <f t="shared" si="5"/>
        <v>0</v>
      </c>
      <c r="D54" s="8"/>
      <c r="E54" s="9"/>
      <c r="F54" s="8"/>
      <c r="G54" s="56"/>
      <c r="H54" s="9"/>
      <c r="I54" s="9"/>
      <c r="J54" s="9"/>
      <c r="K54" s="9"/>
      <c r="L54" s="9"/>
      <c r="M54" s="9"/>
      <c r="N54" s="8"/>
    </row>
    <row r="55" spans="1:14" hidden="1" x14ac:dyDescent="0.3">
      <c r="A55" s="55" t="s">
        <v>78</v>
      </c>
      <c r="B55" s="8">
        <v>8456370</v>
      </c>
      <c r="C55" s="8">
        <f t="shared" si="5"/>
        <v>209311</v>
      </c>
      <c r="D55" s="8"/>
      <c r="E55" s="9"/>
      <c r="F55" s="8"/>
      <c r="G55" s="56"/>
      <c r="H55" s="9"/>
      <c r="I55" s="9"/>
      <c r="J55" s="9"/>
      <c r="K55" s="9"/>
      <c r="L55" s="9"/>
      <c r="M55" s="9"/>
      <c r="N55" s="8">
        <v>209311</v>
      </c>
    </row>
    <row r="56" spans="1:14" hidden="1" x14ac:dyDescent="0.3">
      <c r="A56" s="55" t="s">
        <v>79</v>
      </c>
      <c r="B56" s="8">
        <v>1674000</v>
      </c>
      <c r="C56" s="8">
        <f t="shared" si="5"/>
        <v>0</v>
      </c>
      <c r="D56" s="8"/>
      <c r="E56" s="9"/>
      <c r="F56" s="8"/>
      <c r="G56" s="56"/>
      <c r="H56" s="9"/>
      <c r="I56" s="9"/>
      <c r="J56" s="9"/>
      <c r="K56" s="9"/>
      <c r="L56" s="9"/>
      <c r="M56" s="9"/>
      <c r="N56" s="8"/>
    </row>
    <row r="57" spans="1:14" hidden="1" x14ac:dyDescent="0.3">
      <c r="A57" s="60" t="s">
        <v>80</v>
      </c>
      <c r="B57" s="8">
        <v>8097900</v>
      </c>
      <c r="C57" s="8">
        <f t="shared" si="5"/>
        <v>0</v>
      </c>
      <c r="D57" s="8"/>
      <c r="E57" s="9"/>
      <c r="F57" s="8"/>
      <c r="G57" s="56"/>
      <c r="H57" s="9"/>
      <c r="I57" s="9"/>
      <c r="J57" s="9"/>
      <c r="K57" s="9"/>
      <c r="L57" s="9"/>
      <c r="M57" s="9"/>
      <c r="N57" s="8"/>
    </row>
    <row r="58" spans="1:14" hidden="1" x14ac:dyDescent="0.3">
      <c r="A58" s="61" t="s">
        <v>81</v>
      </c>
      <c r="B58" s="14">
        <f t="shared" ref="B58:N58" si="6">SUM(B46:B57)</f>
        <v>80000000</v>
      </c>
      <c r="C58" s="14">
        <f t="shared" si="6"/>
        <v>6615494.3799999999</v>
      </c>
      <c r="D58" s="14">
        <f t="shared" si="6"/>
        <v>2355707.2600000002</v>
      </c>
      <c r="E58" s="14">
        <f t="shared" si="6"/>
        <v>297500</v>
      </c>
      <c r="F58" s="14">
        <f t="shared" si="6"/>
        <v>1901078.19</v>
      </c>
      <c r="G58" s="14">
        <f t="shared" si="6"/>
        <v>302275</v>
      </c>
      <c r="H58" s="14">
        <f t="shared" si="6"/>
        <v>60020</v>
      </c>
      <c r="I58" s="14">
        <f t="shared" si="6"/>
        <v>342231.2</v>
      </c>
      <c r="J58" s="14">
        <f t="shared" si="6"/>
        <v>13725</v>
      </c>
      <c r="K58" s="14">
        <f t="shared" si="6"/>
        <v>401415.73</v>
      </c>
      <c r="L58" s="14">
        <f t="shared" si="6"/>
        <v>732231</v>
      </c>
      <c r="M58" s="14">
        <f t="shared" si="6"/>
        <v>0</v>
      </c>
      <c r="N58" s="14">
        <f t="shared" si="6"/>
        <v>209311</v>
      </c>
    </row>
    <row r="59" spans="1:14" hidden="1" x14ac:dyDescent="0.3">
      <c r="A59" s="55" t="s">
        <v>82</v>
      </c>
      <c r="B59" s="8"/>
      <c r="C59" s="8">
        <f>+D59+E59+F59+G59+H59+I59+J59+K59+L59+M59+N59</f>
        <v>0</v>
      </c>
      <c r="D59" s="8"/>
      <c r="E59" s="9"/>
      <c r="F59" s="8"/>
      <c r="G59" s="56"/>
      <c r="H59" s="9"/>
      <c r="I59" s="9"/>
      <c r="J59" s="9"/>
      <c r="K59" s="9"/>
      <c r="L59" s="9"/>
      <c r="M59" s="9"/>
      <c r="N59" s="8"/>
    </row>
    <row r="60" spans="1:14" hidden="1" x14ac:dyDescent="0.3">
      <c r="A60" s="55" t="s">
        <v>29</v>
      </c>
      <c r="B60" s="8"/>
      <c r="C60" s="8">
        <f>+D60+E60+F60+G60+H60+I60+J60+K60+L60+M60+N60</f>
        <v>0</v>
      </c>
      <c r="D60" s="8"/>
      <c r="E60" s="9"/>
      <c r="F60" s="8"/>
      <c r="G60" s="56"/>
      <c r="H60" s="9"/>
      <c r="I60" s="9"/>
      <c r="J60" s="9"/>
      <c r="K60" s="9"/>
      <c r="L60" s="9"/>
      <c r="M60" s="9"/>
      <c r="N60" s="8"/>
    </row>
    <row r="61" spans="1:14" ht="19.5" hidden="1" thickBot="1" x14ac:dyDescent="0.35">
      <c r="A61" s="48" t="s">
        <v>83</v>
      </c>
      <c r="B61" s="62">
        <f>+B58</f>
        <v>80000000</v>
      </c>
      <c r="C61" s="62">
        <f t="shared" ref="C61:N61" si="7">+C58+C59+C60</f>
        <v>6615494.3799999999</v>
      </c>
      <c r="D61" s="62">
        <f t="shared" si="7"/>
        <v>2355707.2600000002</v>
      </c>
      <c r="E61" s="62">
        <f t="shared" si="7"/>
        <v>297500</v>
      </c>
      <c r="F61" s="62">
        <f t="shared" si="7"/>
        <v>1901078.19</v>
      </c>
      <c r="G61" s="62">
        <f t="shared" si="7"/>
        <v>302275</v>
      </c>
      <c r="H61" s="62">
        <f t="shared" si="7"/>
        <v>60020</v>
      </c>
      <c r="I61" s="62">
        <f t="shared" si="7"/>
        <v>342231.2</v>
      </c>
      <c r="J61" s="62">
        <f t="shared" si="7"/>
        <v>13725</v>
      </c>
      <c r="K61" s="62">
        <f t="shared" si="7"/>
        <v>401415.73</v>
      </c>
      <c r="L61" s="62">
        <f t="shared" si="7"/>
        <v>732231</v>
      </c>
      <c r="M61" s="62">
        <f t="shared" si="7"/>
        <v>0</v>
      </c>
      <c r="N61" s="62">
        <f t="shared" si="7"/>
        <v>209311</v>
      </c>
    </row>
    <row r="62" spans="1:14" ht="19.5" hidden="1" thickTop="1" x14ac:dyDescent="0.3">
      <c r="A62" s="48" t="s">
        <v>38</v>
      </c>
      <c r="B62" s="63"/>
      <c r="C62" s="8"/>
      <c r="D62" s="8"/>
      <c r="E62" s="8"/>
      <c r="F62" s="8"/>
      <c r="G62" s="56"/>
      <c r="H62" s="8"/>
      <c r="I62" s="8"/>
      <c r="J62" s="8"/>
      <c r="K62" s="8"/>
      <c r="L62" s="8"/>
      <c r="M62" s="64"/>
      <c r="N62" s="8"/>
    </row>
    <row r="63" spans="1:14" hidden="1" x14ac:dyDescent="0.3">
      <c r="A63" s="55" t="s">
        <v>84</v>
      </c>
      <c r="B63" s="8">
        <v>1110000</v>
      </c>
      <c r="C63" s="8">
        <v>13395.35</v>
      </c>
      <c r="D63" s="8"/>
      <c r="E63" s="8"/>
      <c r="F63" s="8"/>
      <c r="G63" s="56"/>
      <c r="H63" s="8"/>
      <c r="I63" s="8"/>
      <c r="J63" s="8"/>
      <c r="K63" s="8"/>
      <c r="L63" s="8"/>
      <c r="M63" s="64"/>
      <c r="N63" s="8"/>
    </row>
    <row r="64" spans="1:14" hidden="1" x14ac:dyDescent="0.3">
      <c r="A64" s="55" t="s">
        <v>85</v>
      </c>
      <c r="B64" s="8">
        <v>594000</v>
      </c>
      <c r="C64" s="8">
        <v>730395.74</v>
      </c>
      <c r="D64" s="8"/>
      <c r="E64" s="8"/>
      <c r="F64" s="8"/>
      <c r="G64" s="56"/>
      <c r="H64" s="8"/>
      <c r="I64" s="8"/>
      <c r="J64" s="8"/>
      <c r="K64" s="8"/>
      <c r="L64" s="8"/>
      <c r="M64" s="64"/>
      <c r="N64" s="8"/>
    </row>
    <row r="65" spans="1:14" hidden="1" x14ac:dyDescent="0.3">
      <c r="A65" s="55" t="s">
        <v>86</v>
      </c>
      <c r="B65" s="8">
        <v>1320000</v>
      </c>
      <c r="C65" s="8">
        <v>28094.27</v>
      </c>
      <c r="D65" s="8"/>
      <c r="E65" s="8"/>
      <c r="F65" s="8"/>
      <c r="G65" s="56"/>
      <c r="H65" s="8"/>
      <c r="I65" s="8"/>
      <c r="J65" s="8"/>
      <c r="K65" s="8"/>
      <c r="L65" s="8"/>
      <c r="M65" s="64"/>
      <c r="N65" s="8"/>
    </row>
    <row r="66" spans="1:14" hidden="1" x14ac:dyDescent="0.3">
      <c r="A66" s="55" t="s">
        <v>87</v>
      </c>
      <c r="B66" s="8">
        <v>116000</v>
      </c>
      <c r="C66" s="8">
        <v>102204</v>
      </c>
      <c r="D66" s="8"/>
      <c r="E66" s="8"/>
      <c r="F66" s="8"/>
      <c r="G66" s="56"/>
      <c r="H66" s="8"/>
      <c r="I66" s="8"/>
      <c r="J66" s="8"/>
      <c r="K66" s="8"/>
      <c r="L66" s="8"/>
      <c r="M66" s="64"/>
      <c r="N66" s="8"/>
    </row>
    <row r="67" spans="1:14" hidden="1" x14ac:dyDescent="0.3">
      <c r="A67" s="55" t="s">
        <v>88</v>
      </c>
      <c r="B67" s="8">
        <v>41360000</v>
      </c>
      <c r="C67" s="8">
        <v>8351938.8700000001</v>
      </c>
      <c r="D67" s="8"/>
      <c r="E67" s="65"/>
      <c r="F67" s="8"/>
      <c r="G67" s="56"/>
      <c r="H67" s="8"/>
      <c r="I67" s="8"/>
      <c r="J67" s="8"/>
      <c r="K67" s="8"/>
      <c r="L67" s="8"/>
      <c r="M67" s="64"/>
      <c r="N67" s="8"/>
    </row>
    <row r="68" spans="1:14" hidden="1" x14ac:dyDescent="0.3">
      <c r="A68" s="55" t="s">
        <v>89</v>
      </c>
      <c r="B68" s="8">
        <v>35500000</v>
      </c>
      <c r="C68" s="8">
        <v>4175620</v>
      </c>
      <c r="D68" s="8"/>
      <c r="E68" s="65"/>
      <c r="F68" s="8"/>
      <c r="G68" s="56"/>
      <c r="H68" s="8"/>
      <c r="I68" s="8"/>
      <c r="J68" s="8"/>
      <c r="K68" s="8"/>
      <c r="L68" s="8"/>
      <c r="M68" s="64"/>
      <c r="N68" s="8"/>
    </row>
    <row r="69" spans="1:14" hidden="1" x14ac:dyDescent="0.3">
      <c r="A69" s="55" t="s">
        <v>90</v>
      </c>
      <c r="B69" s="8">
        <v>0</v>
      </c>
      <c r="C69" s="8">
        <v>0</v>
      </c>
      <c r="D69" s="8"/>
      <c r="E69" s="65"/>
      <c r="F69" s="8"/>
      <c r="G69" s="56"/>
      <c r="H69" s="8"/>
      <c r="I69" s="8"/>
      <c r="J69" s="8"/>
      <c r="K69" s="8"/>
      <c r="L69" s="8"/>
      <c r="M69" s="64"/>
      <c r="N69" s="8"/>
    </row>
    <row r="70" spans="1:14" hidden="1" x14ac:dyDescent="0.3">
      <c r="A70" s="55" t="s">
        <v>91</v>
      </c>
      <c r="B70" s="8">
        <v>0</v>
      </c>
      <c r="C70" s="8">
        <v>0</v>
      </c>
      <c r="D70" s="8"/>
      <c r="E70" s="8"/>
      <c r="F70" s="8"/>
      <c r="G70" s="56"/>
      <c r="H70" s="8"/>
      <c r="I70" s="8"/>
      <c r="J70" s="8"/>
      <c r="K70" s="8"/>
      <c r="L70" s="8"/>
      <c r="M70" s="64"/>
      <c r="N70" s="8"/>
    </row>
    <row r="71" spans="1:14" ht="19.5" hidden="1" thickBot="1" x14ac:dyDescent="0.35">
      <c r="A71" s="66" t="s">
        <v>92</v>
      </c>
      <c r="B71" s="62">
        <f>SUM(B63:B70)</f>
        <v>80000000</v>
      </c>
      <c r="C71" s="62">
        <f>SUM(C63:C70)</f>
        <v>13401648.23</v>
      </c>
      <c r="D71" s="67"/>
      <c r="E71" s="67"/>
      <c r="F71" s="67"/>
      <c r="G71" s="68"/>
      <c r="H71" s="67"/>
      <c r="I71" s="67"/>
      <c r="J71" s="67"/>
      <c r="K71" s="67"/>
      <c r="L71" s="67"/>
      <c r="M71" s="69"/>
      <c r="N71" s="67"/>
    </row>
    <row r="72" spans="1:14" ht="20.25" hidden="1" thickTop="1" thickBot="1" x14ac:dyDescent="0.35">
      <c r="A72" s="70" t="s">
        <v>93</v>
      </c>
      <c r="B72" s="71"/>
      <c r="C72" s="72">
        <f>+C71-C61</f>
        <v>6786153.8500000006</v>
      </c>
      <c r="D72" s="73"/>
      <c r="E72" s="74"/>
      <c r="F72" s="74"/>
      <c r="G72" s="75"/>
      <c r="H72" s="74"/>
      <c r="I72" s="74"/>
      <c r="J72" s="74"/>
      <c r="K72" s="74"/>
      <c r="L72" s="74"/>
      <c r="M72" s="76"/>
      <c r="N72" s="74"/>
    </row>
    <row r="73" spans="1:14" ht="19.5" hidden="1" thickTop="1" x14ac:dyDescent="0.3">
      <c r="A73" s="70"/>
      <c r="B73" s="77"/>
      <c r="C73" s="74"/>
      <c r="D73" s="74"/>
      <c r="E73" s="74"/>
      <c r="F73" s="74"/>
      <c r="G73" s="75"/>
      <c r="H73" s="74"/>
      <c r="I73" s="74"/>
      <c r="J73" s="74"/>
      <c r="K73" s="74"/>
      <c r="L73" s="74"/>
      <c r="M73" s="76"/>
      <c r="N73" s="74"/>
    </row>
    <row r="74" spans="1:14" hidden="1" x14ac:dyDescent="0.3">
      <c r="A74" s="70"/>
      <c r="B74" s="77"/>
      <c r="C74" s="74"/>
      <c r="D74" s="74"/>
      <c r="E74" s="74"/>
      <c r="F74" s="74"/>
      <c r="G74" s="75"/>
      <c r="H74" s="74"/>
      <c r="I74" s="74"/>
      <c r="J74" s="74"/>
      <c r="K74" s="74"/>
      <c r="L74" s="74"/>
      <c r="M74" s="76"/>
      <c r="N74" s="74"/>
    </row>
    <row r="75" spans="1:14" hidden="1" x14ac:dyDescent="0.3">
      <c r="A75" s="70"/>
      <c r="B75" s="77"/>
      <c r="C75" s="74"/>
      <c r="D75" s="74"/>
      <c r="E75" s="74"/>
      <c r="F75" s="74"/>
      <c r="G75" s="75"/>
      <c r="H75" s="74"/>
      <c r="I75" s="74"/>
      <c r="J75" s="74"/>
      <c r="K75" s="74"/>
      <c r="L75" s="74"/>
      <c r="M75" s="76"/>
      <c r="N75" s="74"/>
    </row>
    <row r="76" spans="1:14" hidden="1" x14ac:dyDescent="0.3">
      <c r="A76" s="70"/>
      <c r="B76" s="77"/>
      <c r="C76" s="74"/>
      <c r="D76" s="74"/>
      <c r="E76" s="74"/>
      <c r="F76" s="74"/>
      <c r="G76" s="75"/>
      <c r="H76" s="74"/>
      <c r="I76" s="74"/>
      <c r="J76" s="74"/>
      <c r="K76" s="74"/>
      <c r="L76" s="74"/>
      <c r="M76" s="76"/>
      <c r="N76" s="74"/>
    </row>
    <row r="77" spans="1:14" hidden="1" x14ac:dyDescent="0.3">
      <c r="A77" s="83" t="s">
        <v>48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</row>
    <row r="78" spans="1:14" hidden="1" x14ac:dyDescent="0.3">
      <c r="A78" s="83" t="s">
        <v>1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</row>
    <row r="79" spans="1:14" hidden="1" x14ac:dyDescent="0.3">
      <c r="A79" s="84" t="s">
        <v>95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</row>
    <row r="80" spans="1:14" hidden="1" x14ac:dyDescent="0.3">
      <c r="A80" s="33" t="s">
        <v>50</v>
      </c>
      <c r="B80" s="33" t="s">
        <v>50</v>
      </c>
      <c r="C80" s="33" t="s">
        <v>50</v>
      </c>
      <c r="D80" s="33" t="s">
        <v>51</v>
      </c>
      <c r="E80" s="34" t="s">
        <v>52</v>
      </c>
      <c r="F80" s="33"/>
      <c r="G80" s="35"/>
      <c r="H80" s="34" t="s">
        <v>53</v>
      </c>
      <c r="I80" s="34" t="s">
        <v>54</v>
      </c>
      <c r="J80" s="34" t="s">
        <v>55</v>
      </c>
      <c r="K80" s="34" t="s">
        <v>56</v>
      </c>
      <c r="L80" s="34" t="s">
        <v>57</v>
      </c>
      <c r="M80" s="34"/>
      <c r="N80" s="36"/>
    </row>
    <row r="81" spans="1:14" hidden="1" x14ac:dyDescent="0.3">
      <c r="A81" s="40"/>
      <c r="B81" s="41" t="s">
        <v>4</v>
      </c>
      <c r="C81" s="41" t="s">
        <v>5</v>
      </c>
      <c r="D81" s="41" t="s">
        <v>58</v>
      </c>
      <c r="E81" s="42" t="s">
        <v>59</v>
      </c>
      <c r="F81" s="41" t="s">
        <v>8</v>
      </c>
      <c r="G81" s="43" t="s">
        <v>9</v>
      </c>
      <c r="H81" s="42" t="s">
        <v>60</v>
      </c>
      <c r="I81" s="42" t="s">
        <v>61</v>
      </c>
      <c r="J81" s="42" t="s">
        <v>62</v>
      </c>
      <c r="K81" s="42" t="s">
        <v>63</v>
      </c>
      <c r="L81" s="42" t="s">
        <v>64</v>
      </c>
      <c r="M81" s="42" t="s">
        <v>15</v>
      </c>
      <c r="N81" s="41" t="s">
        <v>16</v>
      </c>
    </row>
    <row r="82" spans="1:14" hidden="1" x14ac:dyDescent="0.3">
      <c r="A82" s="44"/>
      <c r="B82" s="44"/>
      <c r="C82" s="44"/>
      <c r="D82" s="44"/>
      <c r="E82" s="45" t="s">
        <v>65</v>
      </c>
      <c r="F82" s="44"/>
      <c r="G82" s="46"/>
      <c r="H82" s="45"/>
      <c r="I82" s="45"/>
      <c r="J82" s="45" t="s">
        <v>66</v>
      </c>
      <c r="K82" s="45" t="s">
        <v>67</v>
      </c>
      <c r="L82" s="45" t="s">
        <v>68</v>
      </c>
      <c r="M82" s="45"/>
      <c r="N82" s="47"/>
    </row>
    <row r="83" spans="1:14" hidden="1" x14ac:dyDescent="0.3">
      <c r="A83" s="48" t="s">
        <v>17</v>
      </c>
      <c r="B83" s="49"/>
      <c r="C83" s="50"/>
      <c r="D83" s="50" t="s">
        <v>50</v>
      </c>
      <c r="E83" s="51"/>
      <c r="F83" s="50"/>
      <c r="G83" s="52"/>
      <c r="H83" s="53"/>
      <c r="I83" s="53"/>
      <c r="J83" s="53"/>
      <c r="K83" s="53"/>
      <c r="L83" s="53"/>
      <c r="M83" s="54"/>
      <c r="N83" s="55"/>
    </row>
    <row r="84" spans="1:14" hidden="1" x14ac:dyDescent="0.3">
      <c r="A84" s="55" t="s">
        <v>69</v>
      </c>
      <c r="B84" s="8">
        <v>21294040</v>
      </c>
      <c r="C84" s="8">
        <f t="shared" ref="C84:C95" si="8">+D84+E84+F84+G84+H84+I84+J84+K84+L84+M84+N84</f>
        <v>5006140</v>
      </c>
      <c r="D84" s="8">
        <f>768000+1502280</f>
        <v>2270280</v>
      </c>
      <c r="E84" s="9">
        <v>46620</v>
      </c>
      <c r="F84" s="8">
        <v>1817520</v>
      </c>
      <c r="G84" s="56">
        <v>265530</v>
      </c>
      <c r="H84" s="9">
        <v>80380</v>
      </c>
      <c r="I84" s="9"/>
      <c r="J84" s="9"/>
      <c r="K84" s="9">
        <v>62340</v>
      </c>
      <c r="L84" s="9">
        <v>463470</v>
      </c>
      <c r="M84" s="9"/>
      <c r="N84" s="8"/>
    </row>
    <row r="85" spans="1:14" hidden="1" x14ac:dyDescent="0.3">
      <c r="A85" s="55" t="s">
        <v>70</v>
      </c>
      <c r="B85" s="8">
        <v>506340</v>
      </c>
      <c r="C85" s="8">
        <f t="shared" si="8"/>
        <v>173965</v>
      </c>
      <c r="D85" s="8">
        <v>115975</v>
      </c>
      <c r="E85" s="9"/>
      <c r="F85" s="8"/>
      <c r="G85" s="56"/>
      <c r="H85" s="9"/>
      <c r="I85" s="9"/>
      <c r="J85" s="9"/>
      <c r="K85" s="9"/>
      <c r="L85" s="9">
        <v>57990</v>
      </c>
      <c r="M85" s="9"/>
      <c r="N85" s="8"/>
    </row>
    <row r="86" spans="1:14" hidden="1" x14ac:dyDescent="0.3">
      <c r="A86" s="55" t="s">
        <v>71</v>
      </c>
      <c r="B86" s="56">
        <v>11132360</v>
      </c>
      <c r="C86" s="8">
        <f t="shared" si="8"/>
        <v>2397870</v>
      </c>
      <c r="D86" s="8">
        <v>573990</v>
      </c>
      <c r="E86" s="9">
        <v>333390</v>
      </c>
      <c r="F86" s="8">
        <v>524180</v>
      </c>
      <c r="G86" s="56">
        <v>122340</v>
      </c>
      <c r="H86" s="9"/>
      <c r="I86" s="9">
        <v>341970</v>
      </c>
      <c r="J86" s="9"/>
      <c r="K86" s="9">
        <v>34170</v>
      </c>
      <c r="L86" s="9">
        <v>467830</v>
      </c>
      <c r="M86" s="9"/>
      <c r="N86" s="8"/>
    </row>
    <row r="87" spans="1:14" hidden="1" x14ac:dyDescent="0.3">
      <c r="A87" s="55" t="s">
        <v>72</v>
      </c>
      <c r="B87" s="56">
        <v>1431210</v>
      </c>
      <c r="C87" s="8">
        <f t="shared" si="8"/>
        <v>196739</v>
      </c>
      <c r="D87" s="8">
        <v>129134</v>
      </c>
      <c r="E87" s="9">
        <v>6850</v>
      </c>
      <c r="F87" s="8">
        <v>7500</v>
      </c>
      <c r="G87" s="56">
        <v>23205</v>
      </c>
      <c r="H87" s="9"/>
      <c r="I87" s="9"/>
      <c r="J87" s="9"/>
      <c r="K87" s="9"/>
      <c r="L87" s="9">
        <v>30050</v>
      </c>
      <c r="M87" s="9"/>
      <c r="N87" s="8"/>
    </row>
    <row r="88" spans="1:14" hidden="1" x14ac:dyDescent="0.3">
      <c r="A88" s="52" t="s">
        <v>73</v>
      </c>
      <c r="B88" s="8">
        <v>17074160</v>
      </c>
      <c r="C88" s="8">
        <f t="shared" si="8"/>
        <v>2521301</v>
      </c>
      <c r="D88" s="56">
        <f>209110-3</f>
        <v>209107</v>
      </c>
      <c r="E88" s="59">
        <v>95588</v>
      </c>
      <c r="F88" s="56">
        <v>1244592</v>
      </c>
      <c r="G88" s="56">
        <v>57420</v>
      </c>
      <c r="H88" s="9"/>
      <c r="I88" s="59">
        <v>134000</v>
      </c>
      <c r="J88" s="59">
        <v>46525</v>
      </c>
      <c r="K88" s="59">
        <v>593015</v>
      </c>
      <c r="L88" s="59">
        <v>134304</v>
      </c>
      <c r="M88" s="9">
        <v>6750</v>
      </c>
      <c r="N88" s="8"/>
    </row>
    <row r="89" spans="1:14" hidden="1" x14ac:dyDescent="0.3">
      <c r="A89" s="52" t="s">
        <v>74</v>
      </c>
      <c r="B89" s="8">
        <v>6194720</v>
      </c>
      <c r="C89" s="8">
        <f t="shared" si="8"/>
        <v>817277.07000000007</v>
      </c>
      <c r="D89" s="56">
        <v>237720.27</v>
      </c>
      <c r="E89" s="59">
        <v>40500</v>
      </c>
      <c r="F89" s="56">
        <v>151577.60000000001</v>
      </c>
      <c r="G89" s="56"/>
      <c r="H89" s="9"/>
      <c r="I89" s="59">
        <v>83801.2</v>
      </c>
      <c r="J89" s="59"/>
      <c r="K89" s="59"/>
      <c r="L89" s="59">
        <v>247678</v>
      </c>
      <c r="M89" s="9">
        <v>56000</v>
      </c>
      <c r="N89" s="8"/>
    </row>
    <row r="90" spans="1:14" hidden="1" x14ac:dyDescent="0.3">
      <c r="A90" s="55" t="s">
        <v>75</v>
      </c>
      <c r="B90" s="8">
        <v>1165000</v>
      </c>
      <c r="C90" s="8">
        <f t="shared" si="8"/>
        <v>333582.02999999997</v>
      </c>
      <c r="D90" s="8">
        <v>281343.92</v>
      </c>
      <c r="E90" s="9"/>
      <c r="F90" s="9">
        <v>50551.5</v>
      </c>
      <c r="G90" s="56"/>
      <c r="H90" s="9"/>
      <c r="I90" s="9"/>
      <c r="J90" s="9"/>
      <c r="K90" s="9">
        <v>1686.61</v>
      </c>
      <c r="L90" s="9"/>
      <c r="M90" s="9"/>
      <c r="N90" s="8"/>
    </row>
    <row r="91" spans="1:14" hidden="1" x14ac:dyDescent="0.3">
      <c r="A91" s="55" t="s">
        <v>76</v>
      </c>
      <c r="B91" s="8">
        <v>3589000</v>
      </c>
      <c r="C91" s="8">
        <f t="shared" si="8"/>
        <v>240000</v>
      </c>
      <c r="D91" s="10"/>
      <c r="E91" s="9"/>
      <c r="F91" s="8">
        <v>160000</v>
      </c>
      <c r="G91" s="56"/>
      <c r="H91" s="9"/>
      <c r="I91" s="9"/>
      <c r="J91" s="9"/>
      <c r="K91" s="9">
        <v>80000</v>
      </c>
      <c r="L91" s="9"/>
      <c r="M91" s="9"/>
      <c r="N91" s="8"/>
    </row>
    <row r="92" spans="1:14" hidden="1" x14ac:dyDescent="0.3">
      <c r="A92" s="55" t="s">
        <v>77</v>
      </c>
      <c r="B92" s="8">
        <v>10000</v>
      </c>
      <c r="C92" s="8">
        <f t="shared" si="8"/>
        <v>0</v>
      </c>
      <c r="D92" s="8"/>
      <c r="E92" s="9"/>
      <c r="F92" s="8"/>
      <c r="G92" s="56"/>
      <c r="H92" s="9"/>
      <c r="I92" s="9"/>
      <c r="J92" s="9"/>
      <c r="K92" s="9"/>
      <c r="L92" s="9"/>
      <c r="M92" s="9"/>
      <c r="N92" s="8"/>
    </row>
    <row r="93" spans="1:14" hidden="1" x14ac:dyDescent="0.3">
      <c r="A93" s="55" t="s">
        <v>78</v>
      </c>
      <c r="B93" s="8">
        <v>7831270</v>
      </c>
      <c r="C93" s="8">
        <f t="shared" si="8"/>
        <v>962281.5</v>
      </c>
      <c r="D93" s="8"/>
      <c r="E93" s="9"/>
      <c r="F93" s="8"/>
      <c r="G93" s="56"/>
      <c r="H93" s="9"/>
      <c r="I93" s="9"/>
      <c r="J93" s="9"/>
      <c r="K93" s="9"/>
      <c r="L93" s="9"/>
      <c r="M93" s="9"/>
      <c r="N93" s="8">
        <v>962281.5</v>
      </c>
    </row>
    <row r="94" spans="1:14" hidden="1" x14ac:dyDescent="0.3">
      <c r="A94" s="55" t="s">
        <v>79</v>
      </c>
      <c r="B94" s="8">
        <v>1674000</v>
      </c>
      <c r="C94" s="8">
        <f t="shared" si="8"/>
        <v>119161.62</v>
      </c>
      <c r="D94" s="8"/>
      <c r="E94" s="9">
        <v>94588</v>
      </c>
      <c r="F94" s="8"/>
      <c r="G94" s="56"/>
      <c r="H94" s="9"/>
      <c r="I94" s="9"/>
      <c r="J94" s="9"/>
      <c r="K94" s="9"/>
      <c r="L94" s="9">
        <v>24573.62</v>
      </c>
      <c r="M94" s="9"/>
      <c r="N94" s="8"/>
    </row>
    <row r="95" spans="1:14" hidden="1" x14ac:dyDescent="0.3">
      <c r="A95" s="60" t="s">
        <v>80</v>
      </c>
      <c r="B95" s="8">
        <v>8097900</v>
      </c>
      <c r="C95" s="8">
        <f t="shared" si="8"/>
        <v>78000</v>
      </c>
      <c r="D95" s="8"/>
      <c r="E95" s="9"/>
      <c r="F95" s="8"/>
      <c r="G95" s="56"/>
      <c r="H95" s="9"/>
      <c r="I95" s="9"/>
      <c r="J95" s="9"/>
      <c r="K95" s="9"/>
      <c r="L95" s="9">
        <v>78000</v>
      </c>
      <c r="M95" s="9"/>
      <c r="N95" s="8"/>
    </row>
    <row r="96" spans="1:14" hidden="1" x14ac:dyDescent="0.3">
      <c r="A96" s="61" t="s">
        <v>81</v>
      </c>
      <c r="B96" s="14">
        <f t="shared" ref="B96:N96" si="9">SUM(B84:B95)</f>
        <v>80000000</v>
      </c>
      <c r="C96" s="14">
        <f t="shared" si="9"/>
        <v>12846317.219999999</v>
      </c>
      <c r="D96" s="14">
        <f t="shared" si="9"/>
        <v>3817550.19</v>
      </c>
      <c r="E96" s="14">
        <f t="shared" si="9"/>
        <v>617536</v>
      </c>
      <c r="F96" s="14">
        <f t="shared" si="9"/>
        <v>3955921.1</v>
      </c>
      <c r="G96" s="14">
        <f t="shared" si="9"/>
        <v>468495</v>
      </c>
      <c r="H96" s="14">
        <f t="shared" si="9"/>
        <v>80380</v>
      </c>
      <c r="I96" s="14">
        <f t="shared" si="9"/>
        <v>559771.19999999995</v>
      </c>
      <c r="J96" s="14">
        <f t="shared" si="9"/>
        <v>46525</v>
      </c>
      <c r="K96" s="14">
        <f t="shared" si="9"/>
        <v>771211.61</v>
      </c>
      <c r="L96" s="14">
        <f t="shared" si="9"/>
        <v>1503895.62</v>
      </c>
      <c r="M96" s="14">
        <f t="shared" si="9"/>
        <v>62750</v>
      </c>
      <c r="N96" s="14">
        <f t="shared" si="9"/>
        <v>962281.5</v>
      </c>
    </row>
    <row r="97" spans="1:14" hidden="1" x14ac:dyDescent="0.3">
      <c r="A97" s="55" t="s">
        <v>82</v>
      </c>
      <c r="B97" s="8"/>
      <c r="C97" s="8">
        <f>+D97+E97+F97+G97+H97+I97+J97+K97+L97+M97+N97</f>
        <v>0</v>
      </c>
      <c r="D97" s="8"/>
      <c r="E97" s="9"/>
      <c r="F97" s="8"/>
      <c r="G97" s="56"/>
      <c r="H97" s="9"/>
      <c r="I97" s="9"/>
      <c r="J97" s="9"/>
      <c r="K97" s="9"/>
      <c r="L97" s="9"/>
      <c r="M97" s="9"/>
      <c r="N97" s="8"/>
    </row>
    <row r="98" spans="1:14" hidden="1" x14ac:dyDescent="0.3">
      <c r="A98" s="55" t="s">
        <v>29</v>
      </c>
      <c r="B98" s="8"/>
      <c r="C98" s="8">
        <f>+D98+E98+F98+G98+H98+I98+J98+K98+L98+M98+N98</f>
        <v>0</v>
      </c>
      <c r="D98" s="8"/>
      <c r="E98" s="9"/>
      <c r="F98" s="8"/>
      <c r="G98" s="56"/>
      <c r="H98" s="9"/>
      <c r="I98" s="9"/>
      <c r="J98" s="9"/>
      <c r="K98" s="9"/>
      <c r="L98" s="9"/>
      <c r="M98" s="9"/>
      <c r="N98" s="8"/>
    </row>
    <row r="99" spans="1:14" ht="19.5" hidden="1" thickBot="1" x14ac:dyDescent="0.35">
      <c r="A99" s="48" t="s">
        <v>83</v>
      </c>
      <c r="B99" s="62">
        <f>+B96</f>
        <v>80000000</v>
      </c>
      <c r="C99" s="62">
        <f t="shared" ref="C99:N99" si="10">+C96+C97+C98</f>
        <v>12846317.219999999</v>
      </c>
      <c r="D99" s="62">
        <f t="shared" si="10"/>
        <v>3817550.19</v>
      </c>
      <c r="E99" s="62">
        <f t="shared" si="10"/>
        <v>617536</v>
      </c>
      <c r="F99" s="62">
        <f t="shared" si="10"/>
        <v>3955921.1</v>
      </c>
      <c r="G99" s="62">
        <f t="shared" si="10"/>
        <v>468495</v>
      </c>
      <c r="H99" s="62">
        <f t="shared" si="10"/>
        <v>80380</v>
      </c>
      <c r="I99" s="62">
        <f t="shared" si="10"/>
        <v>559771.19999999995</v>
      </c>
      <c r="J99" s="62">
        <f t="shared" si="10"/>
        <v>46525</v>
      </c>
      <c r="K99" s="62">
        <f t="shared" si="10"/>
        <v>771211.61</v>
      </c>
      <c r="L99" s="62">
        <f t="shared" si="10"/>
        <v>1503895.62</v>
      </c>
      <c r="M99" s="62">
        <f t="shared" si="10"/>
        <v>62750</v>
      </c>
      <c r="N99" s="62">
        <f t="shared" si="10"/>
        <v>962281.5</v>
      </c>
    </row>
    <row r="100" spans="1:14" ht="19.5" hidden="1" thickTop="1" x14ac:dyDescent="0.3">
      <c r="A100" s="48" t="s">
        <v>38</v>
      </c>
      <c r="B100" s="63"/>
      <c r="C100" s="8"/>
      <c r="D100" s="8"/>
      <c r="E100" s="8"/>
      <c r="F100" s="8"/>
      <c r="G100" s="56"/>
      <c r="H100" s="8"/>
      <c r="I100" s="8"/>
      <c r="J100" s="8"/>
      <c r="K100" s="8"/>
      <c r="L100" s="8"/>
      <c r="M100" s="64"/>
      <c r="N100" s="8"/>
    </row>
    <row r="101" spans="1:14" hidden="1" x14ac:dyDescent="0.3">
      <c r="A101" s="55" t="s">
        <v>84</v>
      </c>
      <c r="B101" s="8">
        <v>1110000</v>
      </c>
      <c r="C101" s="8">
        <v>37234.35</v>
      </c>
      <c r="D101" s="8"/>
      <c r="E101" s="8"/>
      <c r="F101" s="8"/>
      <c r="G101" s="56"/>
      <c r="H101" s="8"/>
      <c r="I101" s="8"/>
      <c r="J101" s="8"/>
      <c r="K101" s="8"/>
      <c r="L101" s="8"/>
      <c r="M101" s="64"/>
      <c r="N101" s="8"/>
    </row>
    <row r="102" spans="1:14" hidden="1" x14ac:dyDescent="0.3">
      <c r="A102" s="55" t="s">
        <v>85</v>
      </c>
      <c r="B102" s="8">
        <v>594000</v>
      </c>
      <c r="C102" s="8">
        <v>757118.74</v>
      </c>
      <c r="D102" s="8"/>
      <c r="E102" s="8"/>
      <c r="F102" s="8"/>
      <c r="G102" s="56"/>
      <c r="H102" s="8"/>
      <c r="I102" s="8"/>
      <c r="J102" s="8"/>
      <c r="K102" s="8"/>
      <c r="L102" s="8"/>
      <c r="M102" s="64"/>
      <c r="N102" s="8"/>
    </row>
    <row r="103" spans="1:14" hidden="1" x14ac:dyDescent="0.3">
      <c r="A103" s="55" t="s">
        <v>86</v>
      </c>
      <c r="B103" s="8">
        <v>1320000</v>
      </c>
      <c r="C103" s="8">
        <v>138245.64000000001</v>
      </c>
      <c r="D103" s="8"/>
      <c r="E103" s="8"/>
      <c r="F103" s="8"/>
      <c r="G103" s="56"/>
      <c r="H103" s="8"/>
      <c r="I103" s="8"/>
      <c r="J103" s="8"/>
      <c r="K103" s="8"/>
      <c r="L103" s="8"/>
      <c r="M103" s="64"/>
      <c r="N103" s="8"/>
    </row>
    <row r="104" spans="1:14" hidden="1" x14ac:dyDescent="0.3">
      <c r="A104" s="55" t="s">
        <v>87</v>
      </c>
      <c r="B104" s="8">
        <v>116000</v>
      </c>
      <c r="C104" s="8">
        <v>110256</v>
      </c>
      <c r="D104" s="8"/>
      <c r="E104" s="8"/>
      <c r="F104" s="8"/>
      <c r="G104" s="56"/>
      <c r="H104" s="8"/>
      <c r="I104" s="8"/>
      <c r="J104" s="8"/>
      <c r="K104" s="8"/>
      <c r="L104" s="8"/>
      <c r="M104" s="64"/>
      <c r="N104" s="8"/>
    </row>
    <row r="105" spans="1:14" hidden="1" x14ac:dyDescent="0.3">
      <c r="A105" s="55" t="s">
        <v>88</v>
      </c>
      <c r="B105" s="8">
        <v>41360000</v>
      </c>
      <c r="C105" s="8">
        <v>9504013.3300000001</v>
      </c>
      <c r="D105" s="8"/>
      <c r="E105" s="65"/>
      <c r="F105" s="8"/>
      <c r="G105" s="56"/>
      <c r="H105" s="8"/>
      <c r="I105" s="8"/>
      <c r="J105" s="8"/>
      <c r="K105" s="8"/>
      <c r="L105" s="8"/>
      <c r="M105" s="64"/>
      <c r="N105" s="8"/>
    </row>
    <row r="106" spans="1:14" hidden="1" x14ac:dyDescent="0.3">
      <c r="A106" s="55" t="s">
        <v>89</v>
      </c>
      <c r="B106" s="8">
        <v>35500000</v>
      </c>
      <c r="C106" s="8">
        <v>13880255</v>
      </c>
      <c r="D106" s="8"/>
      <c r="E106" s="65"/>
      <c r="F106" s="8"/>
      <c r="G106" s="56"/>
      <c r="H106" s="8"/>
      <c r="I106" s="8"/>
      <c r="J106" s="8"/>
      <c r="K106" s="8"/>
      <c r="L106" s="8"/>
      <c r="M106" s="64"/>
      <c r="N106" s="8"/>
    </row>
    <row r="107" spans="1:14" hidden="1" x14ac:dyDescent="0.3">
      <c r="A107" s="55" t="s">
        <v>90</v>
      </c>
      <c r="B107" s="8">
        <v>0</v>
      </c>
      <c r="C107" s="8">
        <v>0</v>
      </c>
      <c r="D107" s="8"/>
      <c r="E107" s="65"/>
      <c r="F107" s="8"/>
      <c r="G107" s="56"/>
      <c r="H107" s="8"/>
      <c r="I107" s="8"/>
      <c r="J107" s="8"/>
      <c r="K107" s="8"/>
      <c r="L107" s="8"/>
      <c r="M107" s="64"/>
      <c r="N107" s="8"/>
    </row>
    <row r="108" spans="1:14" hidden="1" x14ac:dyDescent="0.3">
      <c r="A108" s="55" t="s">
        <v>91</v>
      </c>
      <c r="B108" s="8">
        <v>0</v>
      </c>
      <c r="C108" s="8">
        <v>0</v>
      </c>
      <c r="D108" s="8"/>
      <c r="E108" s="8"/>
      <c r="F108" s="8"/>
      <c r="G108" s="56"/>
      <c r="H108" s="8"/>
      <c r="I108" s="8"/>
      <c r="J108" s="8"/>
      <c r="K108" s="8"/>
      <c r="L108" s="8"/>
      <c r="M108" s="64"/>
      <c r="N108" s="8"/>
    </row>
    <row r="109" spans="1:14" ht="19.5" hidden="1" thickBot="1" x14ac:dyDescent="0.35">
      <c r="A109" s="66" t="s">
        <v>92</v>
      </c>
      <c r="B109" s="62">
        <f>SUM(B101:B108)</f>
        <v>80000000</v>
      </c>
      <c r="C109" s="62">
        <f>SUM(C101:C108)</f>
        <v>24427123.060000002</v>
      </c>
      <c r="D109" s="67"/>
      <c r="E109" s="67"/>
      <c r="F109" s="67"/>
      <c r="G109" s="68"/>
      <c r="H109" s="67"/>
      <c r="I109" s="67"/>
      <c r="J109" s="67"/>
      <c r="K109" s="67"/>
      <c r="L109" s="67"/>
      <c r="M109" s="69"/>
      <c r="N109" s="67"/>
    </row>
    <row r="110" spans="1:14" ht="20.25" hidden="1" thickTop="1" thickBot="1" x14ac:dyDescent="0.35">
      <c r="A110" s="70" t="s">
        <v>93</v>
      </c>
      <c r="B110" s="71"/>
      <c r="C110" s="72">
        <f>+C109-C99</f>
        <v>11580805.840000004</v>
      </c>
      <c r="D110" s="73"/>
      <c r="E110" s="74"/>
      <c r="F110" s="74"/>
      <c r="G110" s="75"/>
      <c r="H110" s="74"/>
      <c r="I110" s="74"/>
      <c r="J110" s="74"/>
      <c r="K110" s="74"/>
      <c r="L110" s="74"/>
      <c r="M110" s="76"/>
      <c r="N110" s="74"/>
    </row>
    <row r="111" spans="1:14" ht="19.5" hidden="1" thickTop="1" x14ac:dyDescent="0.3">
      <c r="A111" s="70"/>
      <c r="B111" s="77"/>
      <c r="C111" s="74"/>
      <c r="D111" s="74"/>
      <c r="E111" s="74"/>
      <c r="F111" s="74"/>
      <c r="G111" s="75"/>
      <c r="H111" s="74"/>
      <c r="I111" s="74"/>
      <c r="J111" s="74"/>
      <c r="K111" s="74"/>
      <c r="L111" s="74"/>
      <c r="M111" s="76"/>
      <c r="N111" s="74"/>
    </row>
    <row r="112" spans="1:14" hidden="1" x14ac:dyDescent="0.3">
      <c r="A112" s="70"/>
      <c r="B112" s="77"/>
      <c r="C112" s="74"/>
      <c r="D112" s="74"/>
      <c r="E112" s="74"/>
      <c r="F112" s="74"/>
      <c r="G112" s="75"/>
      <c r="H112" s="74"/>
      <c r="I112" s="74"/>
      <c r="J112" s="74"/>
      <c r="K112" s="74"/>
      <c r="L112" s="74"/>
      <c r="M112" s="76"/>
      <c r="N112" s="74"/>
    </row>
    <row r="113" spans="1:14" hidden="1" x14ac:dyDescent="0.3">
      <c r="A113" s="70"/>
      <c r="B113" s="77"/>
      <c r="C113" s="74"/>
      <c r="D113" s="74"/>
      <c r="E113" s="74"/>
      <c r="F113" s="74"/>
      <c r="G113" s="75"/>
      <c r="H113" s="74"/>
      <c r="I113" s="74"/>
      <c r="J113" s="74"/>
      <c r="K113" s="74"/>
      <c r="L113" s="74"/>
      <c r="M113" s="76"/>
      <c r="N113" s="74"/>
    </row>
    <row r="114" spans="1:14" hidden="1" x14ac:dyDescent="0.3">
      <c r="A114" s="70"/>
      <c r="B114" s="77"/>
      <c r="C114" s="74"/>
      <c r="D114" s="74"/>
      <c r="E114" s="74"/>
      <c r="F114" s="74"/>
      <c r="G114" s="75"/>
      <c r="H114" s="74"/>
      <c r="I114" s="74"/>
      <c r="J114" s="74"/>
      <c r="K114" s="74"/>
      <c r="L114" s="74"/>
      <c r="M114" s="76"/>
      <c r="N114" s="74"/>
    </row>
    <row r="115" spans="1:14" hidden="1" x14ac:dyDescent="0.3">
      <c r="A115" s="83" t="s">
        <v>48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</row>
    <row r="116" spans="1:14" hidden="1" x14ac:dyDescent="0.3">
      <c r="A116" s="83" t="s">
        <v>1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</row>
    <row r="117" spans="1:14" hidden="1" x14ac:dyDescent="0.3">
      <c r="A117" s="84" t="s">
        <v>96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</row>
    <row r="118" spans="1:14" hidden="1" x14ac:dyDescent="0.3">
      <c r="A118" s="33" t="s">
        <v>50</v>
      </c>
      <c r="B118" s="33" t="s">
        <v>50</v>
      </c>
      <c r="C118" s="33" t="s">
        <v>50</v>
      </c>
      <c r="D118" s="33" t="s">
        <v>51</v>
      </c>
      <c r="E118" s="34" t="s">
        <v>52</v>
      </c>
      <c r="F118" s="33"/>
      <c r="G118" s="35"/>
      <c r="H118" s="34" t="s">
        <v>53</v>
      </c>
      <c r="I118" s="34" t="s">
        <v>54</v>
      </c>
      <c r="J118" s="34" t="s">
        <v>55</v>
      </c>
      <c r="K118" s="34" t="s">
        <v>56</v>
      </c>
      <c r="L118" s="34" t="s">
        <v>57</v>
      </c>
      <c r="M118" s="34"/>
      <c r="N118" s="36"/>
    </row>
    <row r="119" spans="1:14" hidden="1" x14ac:dyDescent="0.3">
      <c r="A119" s="40"/>
      <c r="B119" s="41" t="s">
        <v>4</v>
      </c>
      <c r="C119" s="41" t="s">
        <v>5</v>
      </c>
      <c r="D119" s="41" t="s">
        <v>58</v>
      </c>
      <c r="E119" s="42" t="s">
        <v>59</v>
      </c>
      <c r="F119" s="41" t="s">
        <v>8</v>
      </c>
      <c r="G119" s="43" t="s">
        <v>9</v>
      </c>
      <c r="H119" s="42" t="s">
        <v>60</v>
      </c>
      <c r="I119" s="42" t="s">
        <v>61</v>
      </c>
      <c r="J119" s="42" t="s">
        <v>62</v>
      </c>
      <c r="K119" s="42" t="s">
        <v>63</v>
      </c>
      <c r="L119" s="42" t="s">
        <v>64</v>
      </c>
      <c r="M119" s="42" t="s">
        <v>15</v>
      </c>
      <c r="N119" s="41" t="s">
        <v>16</v>
      </c>
    </row>
    <row r="120" spans="1:14" hidden="1" x14ac:dyDescent="0.3">
      <c r="A120" s="44"/>
      <c r="B120" s="44"/>
      <c r="C120" s="44"/>
      <c r="D120" s="44"/>
      <c r="E120" s="45" t="s">
        <v>65</v>
      </c>
      <c r="F120" s="44"/>
      <c r="G120" s="46"/>
      <c r="H120" s="45"/>
      <c r="I120" s="45"/>
      <c r="J120" s="45" t="s">
        <v>66</v>
      </c>
      <c r="K120" s="45" t="s">
        <v>67</v>
      </c>
      <c r="L120" s="45" t="s">
        <v>68</v>
      </c>
      <c r="M120" s="45"/>
      <c r="N120" s="47"/>
    </row>
    <row r="121" spans="1:14" hidden="1" x14ac:dyDescent="0.3">
      <c r="A121" s="48" t="s">
        <v>17</v>
      </c>
      <c r="B121" s="49"/>
      <c r="C121" s="50"/>
      <c r="D121" s="50" t="s">
        <v>50</v>
      </c>
      <c r="E121" s="51"/>
      <c r="F121" s="50"/>
      <c r="G121" s="52"/>
      <c r="H121" s="53"/>
      <c r="I121" s="53"/>
      <c r="J121" s="53"/>
      <c r="K121" s="53"/>
      <c r="L121" s="53"/>
      <c r="M121" s="54"/>
      <c r="N121" s="55"/>
    </row>
    <row r="122" spans="1:14" hidden="1" x14ac:dyDescent="0.3">
      <c r="A122" s="55" t="s">
        <v>69</v>
      </c>
      <c r="B122" s="8">
        <v>21294040</v>
      </c>
      <c r="C122" s="8">
        <f t="shared" ref="C122:C133" si="11">+D122+E122+F122+G122+H122+I122+J122+K122+L122+M122+N122</f>
        <v>6680256</v>
      </c>
      <c r="D122" s="8">
        <f>1024000+2009572</f>
        <v>3033572</v>
      </c>
      <c r="E122" s="9">
        <v>62160</v>
      </c>
      <c r="F122" s="8">
        <v>2449576</v>
      </c>
      <c r="G122" s="56">
        <v>354040</v>
      </c>
      <c r="H122" s="9">
        <v>100740</v>
      </c>
      <c r="I122" s="9"/>
      <c r="J122" s="9"/>
      <c r="K122" s="9">
        <v>83120</v>
      </c>
      <c r="L122" s="9">
        <v>597048</v>
      </c>
      <c r="M122" s="9"/>
      <c r="N122" s="8"/>
    </row>
    <row r="123" spans="1:14" hidden="1" x14ac:dyDescent="0.3">
      <c r="A123" s="55" t="s">
        <v>70</v>
      </c>
      <c r="B123" s="8">
        <v>506340</v>
      </c>
      <c r="C123" s="8">
        <f t="shared" si="11"/>
        <v>219505</v>
      </c>
      <c r="D123" s="8">
        <v>146075</v>
      </c>
      <c r="E123" s="9"/>
      <c r="F123" s="8"/>
      <c r="G123" s="56"/>
      <c r="H123" s="9"/>
      <c r="I123" s="9"/>
      <c r="J123" s="9"/>
      <c r="K123" s="9"/>
      <c r="L123" s="9">
        <v>73430</v>
      </c>
      <c r="M123" s="9"/>
      <c r="N123" s="8"/>
    </row>
    <row r="124" spans="1:14" hidden="1" x14ac:dyDescent="0.3">
      <c r="A124" s="55" t="s">
        <v>71</v>
      </c>
      <c r="B124" s="56">
        <v>11132360</v>
      </c>
      <c r="C124" s="8">
        <f t="shared" si="11"/>
        <v>3187340</v>
      </c>
      <c r="D124" s="8">
        <v>765320</v>
      </c>
      <c r="E124" s="9">
        <v>444520</v>
      </c>
      <c r="F124" s="8">
        <v>681820</v>
      </c>
      <c r="G124" s="56">
        <v>163120</v>
      </c>
      <c r="H124" s="9"/>
      <c r="I124" s="9">
        <v>455960</v>
      </c>
      <c r="J124" s="9"/>
      <c r="K124" s="9">
        <v>45560</v>
      </c>
      <c r="L124" s="9">
        <v>631040</v>
      </c>
      <c r="M124" s="9"/>
      <c r="N124" s="8"/>
    </row>
    <row r="125" spans="1:14" hidden="1" x14ac:dyDescent="0.3">
      <c r="A125" s="55" t="s">
        <v>72</v>
      </c>
      <c r="B125" s="56">
        <v>1431210</v>
      </c>
      <c r="C125" s="8">
        <f t="shared" si="11"/>
        <v>258736</v>
      </c>
      <c r="D125" s="8">
        <v>166381</v>
      </c>
      <c r="E125" s="9">
        <v>8800</v>
      </c>
      <c r="F125" s="8">
        <v>10000</v>
      </c>
      <c r="G125" s="56">
        <v>38465</v>
      </c>
      <c r="H125" s="9"/>
      <c r="I125" s="9"/>
      <c r="J125" s="9"/>
      <c r="K125" s="9"/>
      <c r="L125" s="9">
        <v>35090</v>
      </c>
      <c r="M125" s="9"/>
      <c r="N125" s="8"/>
    </row>
    <row r="126" spans="1:14" hidden="1" x14ac:dyDescent="0.3">
      <c r="A126" s="52" t="s">
        <v>73</v>
      </c>
      <c r="B126" s="8">
        <v>17074160</v>
      </c>
      <c r="C126" s="8">
        <f t="shared" si="11"/>
        <v>3223290</v>
      </c>
      <c r="D126" s="56">
        <v>298790</v>
      </c>
      <c r="E126" s="59">
        <v>117688</v>
      </c>
      <c r="F126" s="56">
        <v>1568802</v>
      </c>
      <c r="G126" s="56">
        <v>107176</v>
      </c>
      <c r="H126" s="9"/>
      <c r="I126" s="59">
        <v>201000</v>
      </c>
      <c r="J126" s="59">
        <v>82775</v>
      </c>
      <c r="K126" s="59">
        <v>663865</v>
      </c>
      <c r="L126" s="59">
        <v>176444</v>
      </c>
      <c r="M126" s="9">
        <v>6750</v>
      </c>
      <c r="N126" s="8"/>
    </row>
    <row r="127" spans="1:14" hidden="1" x14ac:dyDescent="0.3">
      <c r="A127" s="52" t="s">
        <v>74</v>
      </c>
      <c r="B127" s="8">
        <v>6194720</v>
      </c>
      <c r="C127" s="8">
        <f t="shared" si="11"/>
        <v>1019932.6699999999</v>
      </c>
      <c r="D127" s="56">
        <v>274732.27</v>
      </c>
      <c r="E127" s="59">
        <v>47280</v>
      </c>
      <c r="F127" s="56">
        <v>281992.2</v>
      </c>
      <c r="G127" s="56"/>
      <c r="H127" s="9"/>
      <c r="I127" s="59">
        <v>100271.2</v>
      </c>
      <c r="J127" s="59"/>
      <c r="K127" s="59"/>
      <c r="L127" s="59">
        <v>259657</v>
      </c>
      <c r="M127" s="9">
        <v>56000</v>
      </c>
      <c r="N127" s="8"/>
    </row>
    <row r="128" spans="1:14" hidden="1" x14ac:dyDescent="0.3">
      <c r="A128" s="55" t="s">
        <v>75</v>
      </c>
      <c r="B128" s="8">
        <v>1165000</v>
      </c>
      <c r="C128" s="8">
        <f t="shared" si="11"/>
        <v>371530.63</v>
      </c>
      <c r="D128" s="8">
        <v>300076.40000000002</v>
      </c>
      <c r="E128" s="9"/>
      <c r="F128" s="9">
        <v>65736.929999999993</v>
      </c>
      <c r="G128" s="56"/>
      <c r="H128" s="9"/>
      <c r="I128" s="9"/>
      <c r="J128" s="9"/>
      <c r="K128" s="9">
        <v>5717.3</v>
      </c>
      <c r="L128" s="9"/>
      <c r="M128" s="9"/>
      <c r="N128" s="8"/>
    </row>
    <row r="129" spans="1:14" hidden="1" x14ac:dyDescent="0.3">
      <c r="A129" s="55" t="s">
        <v>76</v>
      </c>
      <c r="B129" s="8">
        <v>3589000</v>
      </c>
      <c r="C129" s="8">
        <f t="shared" si="11"/>
        <v>1189389.07</v>
      </c>
      <c r="D129" s="10">
        <v>35000</v>
      </c>
      <c r="E129" s="9">
        <v>10000</v>
      </c>
      <c r="F129" s="8">
        <v>782000</v>
      </c>
      <c r="G129" s="56"/>
      <c r="H129" s="9"/>
      <c r="I129" s="9">
        <v>282389.07</v>
      </c>
      <c r="J129" s="9"/>
      <c r="K129" s="9">
        <v>80000</v>
      </c>
      <c r="L129" s="9"/>
      <c r="M129" s="9"/>
      <c r="N129" s="8"/>
    </row>
    <row r="130" spans="1:14" hidden="1" x14ac:dyDescent="0.3">
      <c r="A130" s="55" t="s">
        <v>77</v>
      </c>
      <c r="B130" s="8">
        <v>10000</v>
      </c>
      <c r="C130" s="8">
        <f t="shared" si="11"/>
        <v>0</v>
      </c>
      <c r="D130" s="8"/>
      <c r="E130" s="9"/>
      <c r="F130" s="8"/>
      <c r="G130" s="56"/>
      <c r="H130" s="9"/>
      <c r="I130" s="9"/>
      <c r="J130" s="9"/>
      <c r="K130" s="9"/>
      <c r="L130" s="9"/>
      <c r="M130" s="9"/>
      <c r="N130" s="8"/>
    </row>
    <row r="131" spans="1:14" hidden="1" x14ac:dyDescent="0.3">
      <c r="A131" s="55" t="s">
        <v>78</v>
      </c>
      <c r="B131" s="8">
        <v>7831270</v>
      </c>
      <c r="C131" s="8">
        <f t="shared" si="11"/>
        <v>1087999</v>
      </c>
      <c r="D131" s="8"/>
      <c r="E131" s="9"/>
      <c r="F131" s="8"/>
      <c r="G131" s="56"/>
      <c r="H131" s="9"/>
      <c r="I131" s="9"/>
      <c r="J131" s="9"/>
      <c r="K131" s="9"/>
      <c r="L131" s="9"/>
      <c r="M131" s="9"/>
      <c r="N131" s="8">
        <v>1087999</v>
      </c>
    </row>
    <row r="132" spans="1:14" hidden="1" x14ac:dyDescent="0.3">
      <c r="A132" s="55" t="s">
        <v>79</v>
      </c>
      <c r="B132" s="8">
        <v>1674000</v>
      </c>
      <c r="C132" s="8">
        <f t="shared" si="11"/>
        <v>149854.04</v>
      </c>
      <c r="D132" s="8">
        <v>10142.42</v>
      </c>
      <c r="E132" s="9">
        <v>115138</v>
      </c>
      <c r="F132" s="8"/>
      <c r="G132" s="56"/>
      <c r="H132" s="9"/>
      <c r="I132" s="9"/>
      <c r="J132" s="9"/>
      <c r="K132" s="9"/>
      <c r="L132" s="9">
        <v>24573.62</v>
      </c>
      <c r="M132" s="9"/>
      <c r="N132" s="8"/>
    </row>
    <row r="133" spans="1:14" hidden="1" x14ac:dyDescent="0.3">
      <c r="A133" s="60" t="s">
        <v>80</v>
      </c>
      <c r="B133" s="8">
        <v>8097900</v>
      </c>
      <c r="C133" s="8">
        <f t="shared" si="11"/>
        <v>78000</v>
      </c>
      <c r="D133" s="8"/>
      <c r="E133" s="9"/>
      <c r="F133" s="8"/>
      <c r="G133" s="56"/>
      <c r="H133" s="9"/>
      <c r="I133" s="9"/>
      <c r="J133" s="9"/>
      <c r="K133" s="9"/>
      <c r="L133" s="9">
        <v>78000</v>
      </c>
      <c r="M133" s="9"/>
      <c r="N133" s="8"/>
    </row>
    <row r="134" spans="1:14" hidden="1" x14ac:dyDescent="0.3">
      <c r="A134" s="61" t="s">
        <v>81</v>
      </c>
      <c r="B134" s="14">
        <f t="shared" ref="B134:N134" si="12">SUM(B122:B133)</f>
        <v>80000000</v>
      </c>
      <c r="C134" s="14">
        <f t="shared" si="12"/>
        <v>17465832.41</v>
      </c>
      <c r="D134" s="14">
        <f t="shared" si="12"/>
        <v>5030089.09</v>
      </c>
      <c r="E134" s="14">
        <f t="shared" si="12"/>
        <v>805586</v>
      </c>
      <c r="F134" s="14">
        <f t="shared" si="12"/>
        <v>5839927.1299999999</v>
      </c>
      <c r="G134" s="14">
        <f t="shared" si="12"/>
        <v>662801</v>
      </c>
      <c r="H134" s="14">
        <f t="shared" si="12"/>
        <v>100740</v>
      </c>
      <c r="I134" s="14">
        <f t="shared" si="12"/>
        <v>1039620.27</v>
      </c>
      <c r="J134" s="14">
        <f t="shared" si="12"/>
        <v>82775</v>
      </c>
      <c r="K134" s="14">
        <f t="shared" si="12"/>
        <v>878262.3</v>
      </c>
      <c r="L134" s="14">
        <f t="shared" si="12"/>
        <v>1875282.62</v>
      </c>
      <c r="M134" s="14">
        <f t="shared" si="12"/>
        <v>62750</v>
      </c>
      <c r="N134" s="14">
        <f t="shared" si="12"/>
        <v>1087999</v>
      </c>
    </row>
    <row r="135" spans="1:14" hidden="1" x14ac:dyDescent="0.3">
      <c r="A135" s="55" t="s">
        <v>82</v>
      </c>
      <c r="B135" s="8"/>
      <c r="C135" s="8">
        <f>+D135+E135+F135+G135+H135+I135+J135+K135+L135+M135+N135</f>
        <v>0</v>
      </c>
      <c r="D135" s="8"/>
      <c r="E135" s="9"/>
      <c r="F135" s="8"/>
      <c r="G135" s="56"/>
      <c r="H135" s="9"/>
      <c r="I135" s="9"/>
      <c r="J135" s="9"/>
      <c r="K135" s="9"/>
      <c r="L135" s="9"/>
      <c r="M135" s="9"/>
      <c r="N135" s="8"/>
    </row>
    <row r="136" spans="1:14" hidden="1" x14ac:dyDescent="0.3">
      <c r="A136" s="55" t="s">
        <v>29</v>
      </c>
      <c r="B136" s="8"/>
      <c r="C136" s="8">
        <f>+D136+E136+F136+G136+H136+I136+J136+K136+L136+M136+N136</f>
        <v>0</v>
      </c>
      <c r="D136" s="8"/>
      <c r="E136" s="9"/>
      <c r="F136" s="8"/>
      <c r="G136" s="56"/>
      <c r="H136" s="9"/>
      <c r="I136" s="9"/>
      <c r="J136" s="9"/>
      <c r="K136" s="9"/>
      <c r="L136" s="9"/>
      <c r="M136" s="9"/>
      <c r="N136" s="8"/>
    </row>
    <row r="137" spans="1:14" ht="19.5" hidden="1" thickBot="1" x14ac:dyDescent="0.35">
      <c r="A137" s="48" t="s">
        <v>83</v>
      </c>
      <c r="B137" s="62">
        <f>+B134</f>
        <v>80000000</v>
      </c>
      <c r="C137" s="62">
        <f t="shared" ref="C137:N137" si="13">+C134+C135+C136</f>
        <v>17465832.41</v>
      </c>
      <c r="D137" s="62">
        <f t="shared" si="13"/>
        <v>5030089.09</v>
      </c>
      <c r="E137" s="62">
        <f t="shared" si="13"/>
        <v>805586</v>
      </c>
      <c r="F137" s="62">
        <f t="shared" si="13"/>
        <v>5839927.1299999999</v>
      </c>
      <c r="G137" s="62">
        <f t="shared" si="13"/>
        <v>662801</v>
      </c>
      <c r="H137" s="62">
        <f t="shared" si="13"/>
        <v>100740</v>
      </c>
      <c r="I137" s="62">
        <f t="shared" si="13"/>
        <v>1039620.27</v>
      </c>
      <c r="J137" s="62">
        <f t="shared" si="13"/>
        <v>82775</v>
      </c>
      <c r="K137" s="62">
        <f t="shared" si="13"/>
        <v>878262.3</v>
      </c>
      <c r="L137" s="62">
        <f t="shared" si="13"/>
        <v>1875282.62</v>
      </c>
      <c r="M137" s="62">
        <f t="shared" si="13"/>
        <v>62750</v>
      </c>
      <c r="N137" s="62">
        <f t="shared" si="13"/>
        <v>1087999</v>
      </c>
    </row>
    <row r="138" spans="1:14" ht="19.5" hidden="1" thickTop="1" x14ac:dyDescent="0.3">
      <c r="A138" s="48" t="s">
        <v>38</v>
      </c>
      <c r="B138" s="63"/>
      <c r="C138" s="8"/>
      <c r="D138" s="8"/>
      <c r="E138" s="8"/>
      <c r="F138" s="8"/>
      <c r="G138" s="56"/>
      <c r="H138" s="8"/>
      <c r="I138" s="8"/>
      <c r="J138" s="8"/>
      <c r="K138" s="8"/>
      <c r="L138" s="8"/>
      <c r="M138" s="64"/>
      <c r="N138" s="8"/>
    </row>
    <row r="139" spans="1:14" hidden="1" x14ac:dyDescent="0.3">
      <c r="A139" s="55" t="s">
        <v>84</v>
      </c>
      <c r="B139" s="8">
        <v>1110000</v>
      </c>
      <c r="C139" s="8">
        <v>228078.25</v>
      </c>
      <c r="D139" s="8"/>
      <c r="E139" s="8"/>
      <c r="F139" s="8"/>
      <c r="G139" s="56"/>
      <c r="H139" s="8"/>
      <c r="I139" s="8"/>
      <c r="J139" s="8"/>
      <c r="K139" s="8"/>
      <c r="L139" s="8"/>
      <c r="M139" s="64"/>
      <c r="N139" s="8"/>
    </row>
    <row r="140" spans="1:14" hidden="1" x14ac:dyDescent="0.3">
      <c r="A140" s="55" t="s">
        <v>85</v>
      </c>
      <c r="B140" s="8">
        <v>594000</v>
      </c>
      <c r="C140" s="8">
        <v>934269.54</v>
      </c>
      <c r="D140" s="8"/>
      <c r="E140" s="8"/>
      <c r="F140" s="8"/>
      <c r="G140" s="56"/>
      <c r="H140" s="8"/>
      <c r="I140" s="8"/>
      <c r="J140" s="8"/>
      <c r="K140" s="8"/>
      <c r="L140" s="8"/>
      <c r="M140" s="64"/>
      <c r="N140" s="8"/>
    </row>
    <row r="141" spans="1:14" hidden="1" x14ac:dyDescent="0.3">
      <c r="A141" s="55" t="s">
        <v>86</v>
      </c>
      <c r="B141" s="8">
        <v>1320000</v>
      </c>
      <c r="C141" s="8">
        <v>408341.61</v>
      </c>
      <c r="D141" s="8"/>
      <c r="E141" s="8"/>
      <c r="F141" s="8"/>
      <c r="G141" s="56"/>
      <c r="H141" s="8"/>
      <c r="I141" s="8"/>
      <c r="J141" s="8"/>
      <c r="K141" s="8"/>
      <c r="L141" s="8"/>
      <c r="M141" s="64"/>
      <c r="N141" s="8"/>
    </row>
    <row r="142" spans="1:14" hidden="1" x14ac:dyDescent="0.3">
      <c r="A142" s="55" t="s">
        <v>87</v>
      </c>
      <c r="B142" s="8">
        <v>116000</v>
      </c>
      <c r="C142" s="8">
        <v>140558</v>
      </c>
      <c r="D142" s="8"/>
      <c r="E142" s="8"/>
      <c r="F142" s="8"/>
      <c r="G142" s="56"/>
      <c r="H142" s="8"/>
      <c r="I142" s="8"/>
      <c r="J142" s="8"/>
      <c r="K142" s="8"/>
      <c r="L142" s="8"/>
      <c r="M142" s="64"/>
      <c r="N142" s="8"/>
    </row>
    <row r="143" spans="1:14" hidden="1" x14ac:dyDescent="0.3">
      <c r="A143" s="55" t="s">
        <v>88</v>
      </c>
      <c r="B143" s="8">
        <v>41360000</v>
      </c>
      <c r="C143" s="8">
        <v>13835988.43</v>
      </c>
      <c r="D143" s="8"/>
      <c r="E143" s="65"/>
      <c r="F143" s="8"/>
      <c r="G143" s="56"/>
      <c r="H143" s="8"/>
      <c r="I143" s="8"/>
      <c r="J143" s="8"/>
      <c r="K143" s="8"/>
      <c r="L143" s="8"/>
      <c r="M143" s="64"/>
      <c r="N143" s="8"/>
    </row>
    <row r="144" spans="1:14" hidden="1" x14ac:dyDescent="0.3">
      <c r="A144" s="55" t="s">
        <v>89</v>
      </c>
      <c r="B144" s="8">
        <v>35500000</v>
      </c>
      <c r="C144" s="8">
        <v>18033295</v>
      </c>
      <c r="D144" s="8"/>
      <c r="E144" s="65"/>
      <c r="F144" s="8"/>
      <c r="G144" s="56"/>
      <c r="H144" s="8"/>
      <c r="I144" s="8"/>
      <c r="J144" s="8"/>
      <c r="K144" s="8"/>
      <c r="L144" s="8"/>
      <c r="M144" s="64"/>
      <c r="N144" s="8"/>
    </row>
    <row r="145" spans="1:14" hidden="1" x14ac:dyDescent="0.3">
      <c r="A145" s="55" t="s">
        <v>90</v>
      </c>
      <c r="B145" s="8">
        <v>0</v>
      </c>
      <c r="C145" s="8">
        <v>0</v>
      </c>
      <c r="D145" s="8"/>
      <c r="E145" s="65"/>
      <c r="F145" s="8"/>
      <c r="G145" s="56"/>
      <c r="H145" s="8"/>
      <c r="I145" s="8"/>
      <c r="J145" s="8"/>
      <c r="K145" s="8"/>
      <c r="L145" s="8"/>
      <c r="M145" s="64"/>
      <c r="N145" s="8"/>
    </row>
    <row r="146" spans="1:14" hidden="1" x14ac:dyDescent="0.3">
      <c r="A146" s="55" t="s">
        <v>91</v>
      </c>
      <c r="B146" s="8">
        <v>0</v>
      </c>
      <c r="C146" s="8">
        <v>0</v>
      </c>
      <c r="D146" s="8"/>
      <c r="E146" s="8"/>
      <c r="F146" s="8"/>
      <c r="G146" s="56"/>
      <c r="H146" s="8"/>
      <c r="I146" s="8"/>
      <c r="J146" s="8"/>
      <c r="K146" s="8"/>
      <c r="L146" s="8"/>
      <c r="M146" s="64"/>
      <c r="N146" s="8"/>
    </row>
    <row r="147" spans="1:14" ht="19.5" hidden="1" thickBot="1" x14ac:dyDescent="0.35">
      <c r="A147" s="66" t="s">
        <v>92</v>
      </c>
      <c r="B147" s="62">
        <f>SUM(B139:B146)</f>
        <v>80000000</v>
      </c>
      <c r="C147" s="62">
        <f>SUM(C139:C146)</f>
        <v>33580530.829999998</v>
      </c>
      <c r="D147" s="67"/>
      <c r="E147" s="67"/>
      <c r="F147" s="67"/>
      <c r="G147" s="68"/>
      <c r="H147" s="67"/>
      <c r="I147" s="67"/>
      <c r="J147" s="67"/>
      <c r="K147" s="67"/>
      <c r="L147" s="67"/>
      <c r="M147" s="69"/>
      <c r="N147" s="67"/>
    </row>
    <row r="148" spans="1:14" ht="20.25" hidden="1" thickTop="1" thickBot="1" x14ac:dyDescent="0.35">
      <c r="A148" s="70" t="s">
        <v>93</v>
      </c>
      <c r="B148" s="71"/>
      <c r="C148" s="72">
        <f>+C147-C137</f>
        <v>16114698.419999998</v>
      </c>
      <c r="D148" s="73"/>
      <c r="E148" s="74"/>
      <c r="F148" s="74"/>
      <c r="G148" s="75"/>
      <c r="H148" s="74"/>
      <c r="I148" s="74"/>
      <c r="J148" s="74"/>
      <c r="K148" s="74"/>
      <c r="L148" s="74"/>
      <c r="M148" s="76"/>
      <c r="N148" s="74"/>
    </row>
    <row r="149" spans="1:14" ht="19.5" hidden="1" thickTop="1" x14ac:dyDescent="0.3">
      <c r="A149" s="70"/>
      <c r="B149" s="77"/>
      <c r="C149" s="74"/>
      <c r="D149" s="74"/>
      <c r="E149" s="74"/>
      <c r="F149" s="74"/>
      <c r="G149" s="75"/>
      <c r="H149" s="74"/>
      <c r="I149" s="74"/>
      <c r="J149" s="74"/>
      <c r="K149" s="74"/>
      <c r="L149" s="74"/>
      <c r="M149" s="76"/>
      <c r="N149" s="74"/>
    </row>
    <row r="150" spans="1:14" hidden="1" x14ac:dyDescent="0.3">
      <c r="A150" s="70"/>
      <c r="B150" s="77"/>
      <c r="C150" s="74"/>
      <c r="D150" s="74"/>
      <c r="E150" s="74"/>
      <c r="F150" s="74"/>
      <c r="G150" s="75"/>
      <c r="H150" s="74"/>
      <c r="I150" s="74"/>
      <c r="J150" s="74"/>
      <c r="K150" s="74"/>
      <c r="L150" s="74"/>
      <c r="M150" s="76"/>
      <c r="N150" s="74"/>
    </row>
    <row r="151" spans="1:14" hidden="1" x14ac:dyDescent="0.3">
      <c r="A151" s="70"/>
      <c r="B151" s="77"/>
      <c r="C151" s="74"/>
      <c r="D151" s="74"/>
      <c r="E151" s="74"/>
      <c r="F151" s="74"/>
      <c r="G151" s="75"/>
      <c r="H151" s="74"/>
      <c r="I151" s="74"/>
      <c r="J151" s="74"/>
      <c r="K151" s="74"/>
      <c r="L151" s="74"/>
      <c r="M151" s="76"/>
      <c r="N151" s="74"/>
    </row>
    <row r="152" spans="1:14" hidden="1" x14ac:dyDescent="0.3">
      <c r="A152" s="70"/>
      <c r="B152" s="77"/>
      <c r="C152" s="74"/>
      <c r="D152" s="74"/>
      <c r="E152" s="74"/>
      <c r="F152" s="74"/>
      <c r="G152" s="75"/>
      <c r="H152" s="74"/>
      <c r="I152" s="74"/>
      <c r="J152" s="74"/>
      <c r="K152" s="74"/>
      <c r="L152" s="74"/>
      <c r="M152" s="76"/>
      <c r="N152" s="74"/>
    </row>
    <row r="153" spans="1:14" hidden="1" x14ac:dyDescent="0.3">
      <c r="A153" s="83" t="s">
        <v>48</v>
      </c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</row>
    <row r="154" spans="1:14" hidden="1" x14ac:dyDescent="0.3">
      <c r="A154" s="83" t="s">
        <v>1</v>
      </c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</row>
    <row r="155" spans="1:14" hidden="1" x14ac:dyDescent="0.3">
      <c r="A155" s="84" t="s">
        <v>97</v>
      </c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</row>
    <row r="156" spans="1:14" hidden="1" x14ac:dyDescent="0.3">
      <c r="A156" s="33" t="s">
        <v>50</v>
      </c>
      <c r="B156" s="33" t="s">
        <v>50</v>
      </c>
      <c r="C156" s="33" t="s">
        <v>50</v>
      </c>
      <c r="D156" s="33" t="s">
        <v>51</v>
      </c>
      <c r="E156" s="34" t="s">
        <v>52</v>
      </c>
      <c r="F156" s="33"/>
      <c r="G156" s="35"/>
      <c r="H156" s="34" t="s">
        <v>53</v>
      </c>
      <c r="I156" s="34" t="s">
        <v>54</v>
      </c>
      <c r="J156" s="34" t="s">
        <v>55</v>
      </c>
      <c r="K156" s="34" t="s">
        <v>56</v>
      </c>
      <c r="L156" s="34" t="s">
        <v>57</v>
      </c>
      <c r="M156" s="34"/>
      <c r="N156" s="36"/>
    </row>
    <row r="157" spans="1:14" hidden="1" x14ac:dyDescent="0.3">
      <c r="A157" s="40"/>
      <c r="B157" s="41" t="s">
        <v>4</v>
      </c>
      <c r="C157" s="41" t="s">
        <v>5</v>
      </c>
      <c r="D157" s="41" t="s">
        <v>58</v>
      </c>
      <c r="E157" s="42" t="s">
        <v>59</v>
      </c>
      <c r="F157" s="41" t="s">
        <v>8</v>
      </c>
      <c r="G157" s="43" t="s">
        <v>9</v>
      </c>
      <c r="H157" s="42" t="s">
        <v>60</v>
      </c>
      <c r="I157" s="42" t="s">
        <v>61</v>
      </c>
      <c r="J157" s="42" t="s">
        <v>62</v>
      </c>
      <c r="K157" s="42" t="s">
        <v>63</v>
      </c>
      <c r="L157" s="42" t="s">
        <v>64</v>
      </c>
      <c r="M157" s="42" t="s">
        <v>15</v>
      </c>
      <c r="N157" s="41" t="s">
        <v>16</v>
      </c>
    </row>
    <row r="158" spans="1:14" hidden="1" x14ac:dyDescent="0.3">
      <c r="A158" s="44"/>
      <c r="B158" s="44"/>
      <c r="C158" s="44"/>
      <c r="D158" s="44"/>
      <c r="E158" s="45" t="s">
        <v>65</v>
      </c>
      <c r="F158" s="44"/>
      <c r="G158" s="46"/>
      <c r="H158" s="45"/>
      <c r="I158" s="45"/>
      <c r="J158" s="45" t="s">
        <v>66</v>
      </c>
      <c r="K158" s="45" t="s">
        <v>67</v>
      </c>
      <c r="L158" s="45" t="s">
        <v>68</v>
      </c>
      <c r="M158" s="45"/>
      <c r="N158" s="47"/>
    </row>
    <row r="159" spans="1:14" hidden="1" x14ac:dyDescent="0.3">
      <c r="A159" s="48" t="s">
        <v>17</v>
      </c>
      <c r="B159" s="49"/>
      <c r="C159" s="50"/>
      <c r="D159" s="50" t="s">
        <v>50</v>
      </c>
      <c r="E159" s="51"/>
      <c r="F159" s="50"/>
      <c r="G159" s="52"/>
      <c r="H159" s="53"/>
      <c r="I159" s="53"/>
      <c r="J159" s="53"/>
      <c r="K159" s="53"/>
      <c r="L159" s="53"/>
      <c r="M159" s="54"/>
      <c r="N159" s="55"/>
    </row>
    <row r="160" spans="1:14" hidden="1" x14ac:dyDescent="0.3">
      <c r="A160" s="55" t="s">
        <v>69</v>
      </c>
      <c r="B160" s="8">
        <f>3072000+18222040</f>
        <v>21294040</v>
      </c>
      <c r="C160" s="8">
        <f t="shared" ref="C160:C171" si="14">+D160+E160+F160+G160+H160+I160+J160+K160+L160+M160+N160</f>
        <v>8359051</v>
      </c>
      <c r="D160" s="8">
        <f>1280000+2504207</f>
        <v>3784207</v>
      </c>
      <c r="E160" s="9">
        <v>77700</v>
      </c>
      <c r="F160" s="8">
        <v>3085516</v>
      </c>
      <c r="G160" s="56">
        <v>442550</v>
      </c>
      <c r="H160" s="9">
        <v>137650</v>
      </c>
      <c r="I160" s="9"/>
      <c r="J160" s="9"/>
      <c r="K160" s="9">
        <v>103900</v>
      </c>
      <c r="L160" s="9">
        <v>727528</v>
      </c>
      <c r="M160" s="9"/>
      <c r="N160" s="8"/>
    </row>
    <row r="161" spans="1:14" hidden="1" x14ac:dyDescent="0.3">
      <c r="A161" s="55" t="s">
        <v>70</v>
      </c>
      <c r="B161" s="8">
        <v>506340</v>
      </c>
      <c r="C161" s="8">
        <f t="shared" si="14"/>
        <v>265895</v>
      </c>
      <c r="D161" s="8">
        <v>177025</v>
      </c>
      <c r="E161" s="9"/>
      <c r="F161" s="8"/>
      <c r="G161" s="56"/>
      <c r="H161" s="9"/>
      <c r="I161" s="9"/>
      <c r="J161" s="9"/>
      <c r="K161" s="9"/>
      <c r="L161" s="9">
        <v>88870</v>
      </c>
      <c r="M161" s="9"/>
      <c r="N161" s="8"/>
    </row>
    <row r="162" spans="1:14" hidden="1" x14ac:dyDescent="0.3">
      <c r="A162" s="55" t="s">
        <v>71</v>
      </c>
      <c r="B162" s="56">
        <v>11132360</v>
      </c>
      <c r="C162" s="8">
        <f t="shared" si="14"/>
        <v>3973148</v>
      </c>
      <c r="D162" s="8">
        <v>956650</v>
      </c>
      <c r="E162" s="9">
        <v>555650</v>
      </c>
      <c r="F162" s="8">
        <v>839460</v>
      </c>
      <c r="G162" s="56">
        <v>200238</v>
      </c>
      <c r="H162" s="9"/>
      <c r="I162" s="9">
        <v>569950</v>
      </c>
      <c r="J162" s="9"/>
      <c r="K162" s="9">
        <v>56950</v>
      </c>
      <c r="L162" s="9">
        <v>794250</v>
      </c>
      <c r="M162" s="9"/>
      <c r="N162" s="8"/>
    </row>
    <row r="163" spans="1:14" hidden="1" x14ac:dyDescent="0.3">
      <c r="A163" s="55" t="s">
        <v>72</v>
      </c>
      <c r="B163" s="56">
        <v>1431210</v>
      </c>
      <c r="C163" s="8">
        <f t="shared" si="14"/>
        <v>333191</v>
      </c>
      <c r="D163" s="8">
        <v>208906</v>
      </c>
      <c r="E163" s="9">
        <v>10750</v>
      </c>
      <c r="F163" s="8">
        <v>12500</v>
      </c>
      <c r="G163" s="56">
        <v>48365</v>
      </c>
      <c r="H163" s="9"/>
      <c r="I163" s="9"/>
      <c r="J163" s="9"/>
      <c r="K163" s="9"/>
      <c r="L163" s="9">
        <v>52670</v>
      </c>
      <c r="M163" s="9"/>
      <c r="N163" s="8"/>
    </row>
    <row r="164" spans="1:14" hidden="1" x14ac:dyDescent="0.3">
      <c r="A164" s="52" t="s">
        <v>73</v>
      </c>
      <c r="B164" s="8">
        <v>17359160</v>
      </c>
      <c r="C164" s="8">
        <f t="shared" si="14"/>
        <v>5073099</v>
      </c>
      <c r="D164" s="56">
        <v>512727</v>
      </c>
      <c r="E164" s="59">
        <v>191698</v>
      </c>
      <c r="F164" s="56">
        <v>2635934</v>
      </c>
      <c r="G164" s="56">
        <v>129676</v>
      </c>
      <c r="H164" s="9"/>
      <c r="I164" s="59">
        <v>268000</v>
      </c>
      <c r="J164" s="59">
        <v>125235</v>
      </c>
      <c r="K164" s="59">
        <v>1021705</v>
      </c>
      <c r="L164" s="59">
        <v>181374</v>
      </c>
      <c r="M164" s="9">
        <v>6750</v>
      </c>
      <c r="N164" s="8"/>
    </row>
    <row r="165" spans="1:14" hidden="1" x14ac:dyDescent="0.3">
      <c r="A165" s="52" t="s">
        <v>74</v>
      </c>
      <c r="B165" s="8">
        <v>6194720</v>
      </c>
      <c r="C165" s="8">
        <f t="shared" si="14"/>
        <v>1648818.06</v>
      </c>
      <c r="D165" s="56">
        <v>454689.89</v>
      </c>
      <c r="E165" s="59">
        <v>47280</v>
      </c>
      <c r="F165" s="56">
        <v>448205.47</v>
      </c>
      <c r="G165" s="56"/>
      <c r="H165" s="9"/>
      <c r="I165" s="59">
        <v>100271.2</v>
      </c>
      <c r="J165" s="59"/>
      <c r="K165" s="59">
        <v>4960</v>
      </c>
      <c r="L165" s="59">
        <v>537411.5</v>
      </c>
      <c r="M165" s="9">
        <v>56000</v>
      </c>
      <c r="N165" s="8"/>
    </row>
    <row r="166" spans="1:14" hidden="1" x14ac:dyDescent="0.3">
      <c r="A166" s="55" t="s">
        <v>75</v>
      </c>
      <c r="B166" s="8">
        <v>1165000</v>
      </c>
      <c r="C166" s="8">
        <f t="shared" si="14"/>
        <v>397990.55999999994</v>
      </c>
      <c r="D166" s="8">
        <v>314795.43</v>
      </c>
      <c r="E166" s="9"/>
      <c r="F166" s="9">
        <v>77081.149999999994</v>
      </c>
      <c r="G166" s="56"/>
      <c r="H166" s="9"/>
      <c r="I166" s="9"/>
      <c r="J166" s="9"/>
      <c r="K166" s="9">
        <v>6113.98</v>
      </c>
      <c r="L166" s="9"/>
      <c r="M166" s="9"/>
      <c r="N166" s="8"/>
    </row>
    <row r="167" spans="1:14" hidden="1" x14ac:dyDescent="0.3">
      <c r="A167" s="55" t="s">
        <v>76</v>
      </c>
      <c r="B167" s="8">
        <v>3509100</v>
      </c>
      <c r="C167" s="8">
        <f t="shared" si="14"/>
        <v>1275389.07</v>
      </c>
      <c r="D167" s="10">
        <v>45000</v>
      </c>
      <c r="E167" s="9">
        <v>10000</v>
      </c>
      <c r="F167" s="8">
        <v>858000</v>
      </c>
      <c r="G167" s="56"/>
      <c r="H167" s="9"/>
      <c r="I167" s="9">
        <v>282389.07</v>
      </c>
      <c r="J167" s="9"/>
      <c r="K167" s="9">
        <v>80000</v>
      </c>
      <c r="L167" s="9"/>
      <c r="M167" s="9"/>
      <c r="N167" s="8"/>
    </row>
    <row r="168" spans="1:14" hidden="1" x14ac:dyDescent="0.3">
      <c r="A168" s="55" t="s">
        <v>77</v>
      </c>
      <c r="B168" s="8">
        <v>10000</v>
      </c>
      <c r="C168" s="8">
        <f t="shared" si="14"/>
        <v>0</v>
      </c>
      <c r="D168" s="8"/>
      <c r="E168" s="9"/>
      <c r="F168" s="8"/>
      <c r="G168" s="56"/>
      <c r="H168" s="9"/>
      <c r="I168" s="9"/>
      <c r="J168" s="9"/>
      <c r="K168" s="9"/>
      <c r="L168" s="9"/>
      <c r="M168" s="9"/>
      <c r="N168" s="8"/>
    </row>
    <row r="169" spans="1:14" hidden="1" x14ac:dyDescent="0.3">
      <c r="A169" s="55" t="s">
        <v>78</v>
      </c>
      <c r="B169" s="8">
        <v>7526270</v>
      </c>
      <c r="C169" s="8">
        <f t="shared" si="14"/>
        <v>2028722.5</v>
      </c>
      <c r="D169" s="8"/>
      <c r="E169" s="9"/>
      <c r="F169" s="8"/>
      <c r="G169" s="56"/>
      <c r="H169" s="9"/>
      <c r="I169" s="9"/>
      <c r="J169" s="9"/>
      <c r="K169" s="9"/>
      <c r="L169" s="9"/>
      <c r="M169" s="9"/>
      <c r="N169" s="8">
        <v>2028722.5</v>
      </c>
    </row>
    <row r="170" spans="1:14" hidden="1" x14ac:dyDescent="0.3">
      <c r="A170" s="55" t="s">
        <v>79</v>
      </c>
      <c r="B170" s="8">
        <v>1674000</v>
      </c>
      <c r="C170" s="8">
        <f t="shared" si="14"/>
        <v>235753.65000000002</v>
      </c>
      <c r="D170" s="8">
        <v>10142.42</v>
      </c>
      <c r="E170" s="9">
        <v>173338</v>
      </c>
      <c r="F170" s="8"/>
      <c r="G170" s="56"/>
      <c r="H170" s="9"/>
      <c r="I170" s="9"/>
      <c r="J170" s="9"/>
      <c r="K170" s="9"/>
      <c r="L170" s="9">
        <v>52273.23</v>
      </c>
      <c r="M170" s="9"/>
      <c r="N170" s="8"/>
    </row>
    <row r="171" spans="1:14" hidden="1" x14ac:dyDescent="0.3">
      <c r="A171" s="60" t="s">
        <v>80</v>
      </c>
      <c r="B171" s="8">
        <v>8197800</v>
      </c>
      <c r="C171" s="8">
        <f t="shared" si="14"/>
        <v>78000</v>
      </c>
      <c r="D171" s="8"/>
      <c r="E171" s="9"/>
      <c r="F171" s="8"/>
      <c r="G171" s="56"/>
      <c r="H171" s="9"/>
      <c r="I171" s="9"/>
      <c r="J171" s="9"/>
      <c r="K171" s="9"/>
      <c r="L171" s="9">
        <v>78000</v>
      </c>
      <c r="M171" s="9"/>
      <c r="N171" s="8"/>
    </row>
    <row r="172" spans="1:14" hidden="1" x14ac:dyDescent="0.3">
      <c r="A172" s="61" t="s">
        <v>81</v>
      </c>
      <c r="B172" s="14">
        <f t="shared" ref="B172:N172" si="15">SUM(B160:B171)</f>
        <v>80000000</v>
      </c>
      <c r="C172" s="14">
        <f t="shared" si="15"/>
        <v>23669057.839999996</v>
      </c>
      <c r="D172" s="14">
        <f t="shared" si="15"/>
        <v>6464142.7399999993</v>
      </c>
      <c r="E172" s="14">
        <f t="shared" si="15"/>
        <v>1066416</v>
      </c>
      <c r="F172" s="14">
        <f t="shared" si="15"/>
        <v>7956696.6200000001</v>
      </c>
      <c r="G172" s="14">
        <f t="shared" si="15"/>
        <v>820829</v>
      </c>
      <c r="H172" s="14">
        <f t="shared" si="15"/>
        <v>137650</v>
      </c>
      <c r="I172" s="14">
        <f t="shared" si="15"/>
        <v>1220610.27</v>
      </c>
      <c r="J172" s="14">
        <f t="shared" si="15"/>
        <v>125235</v>
      </c>
      <c r="K172" s="14">
        <f t="shared" si="15"/>
        <v>1273628.98</v>
      </c>
      <c r="L172" s="14">
        <f t="shared" si="15"/>
        <v>2512376.73</v>
      </c>
      <c r="M172" s="14">
        <f t="shared" si="15"/>
        <v>62750</v>
      </c>
      <c r="N172" s="14">
        <f t="shared" si="15"/>
        <v>2028722.5</v>
      </c>
    </row>
    <row r="173" spans="1:14" hidden="1" x14ac:dyDescent="0.3">
      <c r="A173" s="55" t="s">
        <v>82</v>
      </c>
      <c r="B173" s="8"/>
      <c r="C173" s="8">
        <f>+D173+E173+F173+G173+H173+I173+J173+K173+L173+M173+N173</f>
        <v>0</v>
      </c>
      <c r="D173" s="8"/>
      <c r="E173" s="9"/>
      <c r="F173" s="8"/>
      <c r="G173" s="56"/>
      <c r="H173" s="9"/>
      <c r="I173" s="9"/>
      <c r="J173" s="9"/>
      <c r="K173" s="9"/>
      <c r="L173" s="9"/>
      <c r="M173" s="9"/>
      <c r="N173" s="8"/>
    </row>
    <row r="174" spans="1:14" hidden="1" x14ac:dyDescent="0.3">
      <c r="A174" s="55" t="s">
        <v>29</v>
      </c>
      <c r="B174" s="8"/>
      <c r="C174" s="8">
        <f>+D174+E174+F174+G174+H174+I174+J174+K174+L174+M174+N174</f>
        <v>0</v>
      </c>
      <c r="D174" s="8"/>
      <c r="E174" s="9"/>
      <c r="F174" s="8"/>
      <c r="G174" s="56"/>
      <c r="H174" s="9"/>
      <c r="I174" s="9"/>
      <c r="J174" s="9"/>
      <c r="K174" s="9"/>
      <c r="L174" s="9"/>
      <c r="M174" s="9"/>
      <c r="N174" s="8"/>
    </row>
    <row r="175" spans="1:14" ht="19.5" hidden="1" thickBot="1" x14ac:dyDescent="0.35">
      <c r="A175" s="48" t="s">
        <v>83</v>
      </c>
      <c r="B175" s="62">
        <f>+B172</f>
        <v>80000000</v>
      </c>
      <c r="C175" s="62">
        <f t="shared" ref="C175:N175" si="16">+C172+C173+C174</f>
        <v>23669057.839999996</v>
      </c>
      <c r="D175" s="62">
        <f t="shared" si="16"/>
        <v>6464142.7399999993</v>
      </c>
      <c r="E175" s="62">
        <f t="shared" si="16"/>
        <v>1066416</v>
      </c>
      <c r="F175" s="62">
        <f t="shared" si="16"/>
        <v>7956696.6200000001</v>
      </c>
      <c r="G175" s="62">
        <f t="shared" si="16"/>
        <v>820829</v>
      </c>
      <c r="H175" s="62">
        <f t="shared" si="16"/>
        <v>137650</v>
      </c>
      <c r="I175" s="62">
        <f t="shared" si="16"/>
        <v>1220610.27</v>
      </c>
      <c r="J175" s="62">
        <f t="shared" si="16"/>
        <v>125235</v>
      </c>
      <c r="K175" s="62">
        <f t="shared" si="16"/>
        <v>1273628.98</v>
      </c>
      <c r="L175" s="62">
        <f t="shared" si="16"/>
        <v>2512376.73</v>
      </c>
      <c r="M175" s="62">
        <f t="shared" si="16"/>
        <v>62750</v>
      </c>
      <c r="N175" s="62">
        <f t="shared" si="16"/>
        <v>2028722.5</v>
      </c>
    </row>
    <row r="176" spans="1:14" ht="19.5" hidden="1" thickTop="1" x14ac:dyDescent="0.3">
      <c r="A176" s="48" t="s">
        <v>38</v>
      </c>
      <c r="B176" s="63"/>
      <c r="C176" s="8"/>
      <c r="D176" s="8"/>
      <c r="E176" s="8"/>
      <c r="F176" s="8"/>
      <c r="G176" s="56"/>
      <c r="H176" s="8"/>
      <c r="I176" s="8"/>
      <c r="J176" s="8"/>
      <c r="K176" s="8"/>
      <c r="L176" s="8"/>
      <c r="M176" s="64"/>
      <c r="N176" s="8"/>
    </row>
    <row r="177" spans="1:14" hidden="1" x14ac:dyDescent="0.3">
      <c r="A177" s="55" t="s">
        <v>84</v>
      </c>
      <c r="B177" s="8">
        <v>1110000</v>
      </c>
      <c r="C177" s="8">
        <v>683428.72</v>
      </c>
      <c r="D177" s="8"/>
      <c r="E177" s="8"/>
      <c r="F177" s="8"/>
      <c r="G177" s="56"/>
      <c r="H177" s="8"/>
      <c r="I177" s="8"/>
      <c r="J177" s="8"/>
      <c r="K177" s="8"/>
      <c r="L177" s="8"/>
      <c r="M177" s="64"/>
      <c r="N177" s="8"/>
    </row>
    <row r="178" spans="1:14" hidden="1" x14ac:dyDescent="0.3">
      <c r="A178" s="55" t="s">
        <v>85</v>
      </c>
      <c r="B178" s="8">
        <v>594000</v>
      </c>
      <c r="C178" s="8">
        <v>941357.54</v>
      </c>
      <c r="D178" s="8"/>
      <c r="E178" s="8"/>
      <c r="F178" s="8"/>
      <c r="G178" s="56"/>
      <c r="H178" s="8"/>
      <c r="I178" s="8"/>
      <c r="J178" s="8"/>
      <c r="K178" s="8"/>
      <c r="L178" s="8"/>
      <c r="M178" s="64"/>
      <c r="N178" s="8"/>
    </row>
    <row r="179" spans="1:14" hidden="1" x14ac:dyDescent="0.3">
      <c r="A179" s="55" t="s">
        <v>86</v>
      </c>
      <c r="B179" s="8">
        <v>1320000</v>
      </c>
      <c r="C179" s="8">
        <v>408341.61</v>
      </c>
      <c r="D179" s="8"/>
      <c r="E179" s="8"/>
      <c r="F179" s="8"/>
      <c r="G179" s="56"/>
      <c r="H179" s="8"/>
      <c r="I179" s="8"/>
      <c r="J179" s="8"/>
      <c r="K179" s="8"/>
      <c r="L179" s="8"/>
      <c r="M179" s="64"/>
      <c r="N179" s="8"/>
    </row>
    <row r="180" spans="1:14" hidden="1" x14ac:dyDescent="0.3">
      <c r="A180" s="55" t="s">
        <v>87</v>
      </c>
      <c r="B180" s="8">
        <v>116000</v>
      </c>
      <c r="C180" s="8">
        <v>162514</v>
      </c>
      <c r="D180" s="8"/>
      <c r="E180" s="8"/>
      <c r="F180" s="8"/>
      <c r="G180" s="56"/>
      <c r="H180" s="8"/>
      <c r="I180" s="8"/>
      <c r="J180" s="8"/>
      <c r="K180" s="8"/>
      <c r="L180" s="8"/>
      <c r="M180" s="64"/>
      <c r="N180" s="8"/>
    </row>
    <row r="181" spans="1:14" hidden="1" x14ac:dyDescent="0.3">
      <c r="A181" s="55" t="s">
        <v>88</v>
      </c>
      <c r="B181" s="8">
        <v>41360000</v>
      </c>
      <c r="C181" s="8">
        <v>17742240.510000002</v>
      </c>
      <c r="D181" s="8"/>
      <c r="E181" s="65"/>
      <c r="F181" s="8"/>
      <c r="G181" s="56"/>
      <c r="H181" s="8"/>
      <c r="I181" s="8"/>
      <c r="J181" s="8"/>
      <c r="K181" s="8"/>
      <c r="L181" s="8"/>
      <c r="M181" s="64"/>
      <c r="N181" s="8"/>
    </row>
    <row r="182" spans="1:14" hidden="1" x14ac:dyDescent="0.3">
      <c r="A182" s="55" t="s">
        <v>89</v>
      </c>
      <c r="B182" s="8">
        <v>35500000</v>
      </c>
      <c r="C182" s="8">
        <v>18033295</v>
      </c>
      <c r="D182" s="8"/>
      <c r="E182" s="65"/>
      <c r="F182" s="8"/>
      <c r="G182" s="56"/>
      <c r="H182" s="8"/>
      <c r="I182" s="8"/>
      <c r="J182" s="8"/>
      <c r="K182" s="8"/>
      <c r="L182" s="8"/>
      <c r="M182" s="64"/>
      <c r="N182" s="8"/>
    </row>
    <row r="183" spans="1:14" hidden="1" x14ac:dyDescent="0.3">
      <c r="A183" s="55" t="s">
        <v>90</v>
      </c>
      <c r="B183" s="8">
        <v>0</v>
      </c>
      <c r="C183" s="8">
        <v>0</v>
      </c>
      <c r="D183" s="8"/>
      <c r="E183" s="65"/>
      <c r="F183" s="8"/>
      <c r="G183" s="56"/>
      <c r="H183" s="8"/>
      <c r="I183" s="8"/>
      <c r="J183" s="8"/>
      <c r="K183" s="8"/>
      <c r="L183" s="8"/>
      <c r="M183" s="64"/>
      <c r="N183" s="8"/>
    </row>
    <row r="184" spans="1:14" hidden="1" x14ac:dyDescent="0.3">
      <c r="A184" s="55" t="s">
        <v>91</v>
      </c>
      <c r="B184" s="8">
        <v>0</v>
      </c>
      <c r="C184" s="8">
        <v>0</v>
      </c>
      <c r="D184" s="8"/>
      <c r="E184" s="8"/>
      <c r="F184" s="8"/>
      <c r="G184" s="56"/>
      <c r="H184" s="8"/>
      <c r="I184" s="8"/>
      <c r="J184" s="8"/>
      <c r="K184" s="8"/>
      <c r="L184" s="8"/>
      <c r="M184" s="64"/>
      <c r="N184" s="8"/>
    </row>
    <row r="185" spans="1:14" ht="19.5" hidden="1" thickBot="1" x14ac:dyDescent="0.35">
      <c r="A185" s="66" t="s">
        <v>92</v>
      </c>
      <c r="B185" s="62">
        <f>SUM(B177:B184)</f>
        <v>80000000</v>
      </c>
      <c r="C185" s="62">
        <f>SUM(C177:C184)</f>
        <v>37971177.380000003</v>
      </c>
      <c r="D185" s="67"/>
      <c r="E185" s="67"/>
      <c r="F185" s="67"/>
      <c r="G185" s="68"/>
      <c r="H185" s="67"/>
      <c r="I185" s="67"/>
      <c r="J185" s="67"/>
      <c r="K185" s="67"/>
      <c r="L185" s="67"/>
      <c r="M185" s="69"/>
      <c r="N185" s="67"/>
    </row>
    <row r="186" spans="1:14" ht="20.25" hidden="1" thickTop="1" thickBot="1" x14ac:dyDescent="0.35">
      <c r="A186" s="70" t="s">
        <v>93</v>
      </c>
      <c r="B186" s="71"/>
      <c r="C186" s="72">
        <f>+C185-C175</f>
        <v>14302119.540000007</v>
      </c>
      <c r="D186" s="73"/>
      <c r="E186" s="74"/>
      <c r="F186" s="74"/>
      <c r="G186" s="75"/>
      <c r="H186" s="74"/>
      <c r="I186" s="74"/>
      <c r="J186" s="74"/>
      <c r="K186" s="74"/>
      <c r="L186" s="74"/>
      <c r="M186" s="76"/>
      <c r="N186" s="74"/>
    </row>
    <row r="187" spans="1:14" ht="19.5" hidden="1" thickTop="1" x14ac:dyDescent="0.3">
      <c r="A187" s="70"/>
      <c r="B187" s="77"/>
      <c r="C187" s="74"/>
      <c r="D187" s="74"/>
      <c r="E187" s="74"/>
      <c r="F187" s="74"/>
      <c r="G187" s="75"/>
      <c r="H187" s="74"/>
      <c r="I187" s="74"/>
      <c r="J187" s="74"/>
      <c r="K187" s="74"/>
      <c r="L187" s="74"/>
      <c r="M187" s="76"/>
      <c r="N187" s="74"/>
    </row>
    <row r="188" spans="1:14" hidden="1" x14ac:dyDescent="0.3">
      <c r="A188" s="70"/>
      <c r="B188" s="77"/>
      <c r="C188" s="74"/>
      <c r="D188" s="74"/>
      <c r="E188" s="74"/>
      <c r="F188" s="74"/>
      <c r="G188" s="75"/>
      <c r="H188" s="74"/>
      <c r="I188" s="74"/>
      <c r="J188" s="74"/>
      <c r="K188" s="74"/>
      <c r="L188" s="74"/>
      <c r="M188" s="76"/>
      <c r="N188" s="74"/>
    </row>
    <row r="189" spans="1:14" hidden="1" x14ac:dyDescent="0.3">
      <c r="A189" s="70"/>
      <c r="B189" s="77"/>
      <c r="C189" s="74"/>
      <c r="D189" s="74"/>
      <c r="E189" s="74"/>
      <c r="F189" s="74"/>
      <c r="G189" s="75"/>
      <c r="H189" s="74"/>
      <c r="I189" s="74"/>
      <c r="J189" s="74"/>
      <c r="K189" s="74"/>
      <c r="L189" s="74"/>
      <c r="M189" s="76"/>
      <c r="N189" s="74"/>
    </row>
    <row r="190" spans="1:14" hidden="1" x14ac:dyDescent="0.3">
      <c r="A190" s="70"/>
      <c r="B190" s="77"/>
      <c r="C190" s="74"/>
      <c r="D190" s="74"/>
      <c r="E190" s="74"/>
      <c r="F190" s="74"/>
      <c r="G190" s="75"/>
      <c r="H190" s="74"/>
      <c r="I190" s="74"/>
      <c r="J190" s="74"/>
      <c r="K190" s="74"/>
      <c r="L190" s="74"/>
      <c r="M190" s="76"/>
      <c r="N190" s="74"/>
    </row>
    <row r="191" spans="1:14" hidden="1" x14ac:dyDescent="0.3">
      <c r="A191" s="83" t="s">
        <v>48</v>
      </c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</row>
    <row r="192" spans="1:14" hidden="1" x14ac:dyDescent="0.3">
      <c r="A192" s="83" t="s">
        <v>1</v>
      </c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</row>
    <row r="193" spans="1:14" hidden="1" x14ac:dyDescent="0.3">
      <c r="A193" s="84" t="s">
        <v>98</v>
      </c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</row>
    <row r="194" spans="1:14" hidden="1" x14ac:dyDescent="0.3">
      <c r="A194" s="33" t="s">
        <v>50</v>
      </c>
      <c r="B194" s="33" t="s">
        <v>50</v>
      </c>
      <c r="C194" s="33" t="s">
        <v>50</v>
      </c>
      <c r="D194" s="33" t="s">
        <v>51</v>
      </c>
      <c r="E194" s="34" t="s">
        <v>52</v>
      </c>
      <c r="F194" s="33"/>
      <c r="G194" s="35"/>
      <c r="H194" s="34" t="s">
        <v>53</v>
      </c>
      <c r="I194" s="34" t="s">
        <v>54</v>
      </c>
      <c r="J194" s="34" t="s">
        <v>55</v>
      </c>
      <c r="K194" s="34" t="s">
        <v>56</v>
      </c>
      <c r="L194" s="34" t="s">
        <v>57</v>
      </c>
      <c r="M194" s="34"/>
      <c r="N194" s="36"/>
    </row>
    <row r="195" spans="1:14" hidden="1" x14ac:dyDescent="0.3">
      <c r="A195" s="40"/>
      <c r="B195" s="41" t="s">
        <v>4</v>
      </c>
      <c r="C195" s="41" t="s">
        <v>5</v>
      </c>
      <c r="D195" s="41" t="s">
        <v>58</v>
      </c>
      <c r="E195" s="42" t="s">
        <v>59</v>
      </c>
      <c r="F195" s="41" t="s">
        <v>8</v>
      </c>
      <c r="G195" s="43" t="s">
        <v>9</v>
      </c>
      <c r="H195" s="42" t="s">
        <v>60</v>
      </c>
      <c r="I195" s="42" t="s">
        <v>61</v>
      </c>
      <c r="J195" s="42" t="s">
        <v>62</v>
      </c>
      <c r="K195" s="42" t="s">
        <v>63</v>
      </c>
      <c r="L195" s="42" t="s">
        <v>64</v>
      </c>
      <c r="M195" s="42" t="s">
        <v>15</v>
      </c>
      <c r="N195" s="41" t="s">
        <v>16</v>
      </c>
    </row>
    <row r="196" spans="1:14" hidden="1" x14ac:dyDescent="0.3">
      <c r="A196" s="44"/>
      <c r="B196" s="44"/>
      <c r="C196" s="44"/>
      <c r="D196" s="44"/>
      <c r="E196" s="45" t="s">
        <v>65</v>
      </c>
      <c r="F196" s="44"/>
      <c r="G196" s="46"/>
      <c r="H196" s="45"/>
      <c r="I196" s="45"/>
      <c r="J196" s="45" t="s">
        <v>66</v>
      </c>
      <c r="K196" s="45" t="s">
        <v>67</v>
      </c>
      <c r="L196" s="45" t="s">
        <v>68</v>
      </c>
      <c r="M196" s="45"/>
      <c r="N196" s="47"/>
    </row>
    <row r="197" spans="1:14" hidden="1" x14ac:dyDescent="0.3">
      <c r="A197" s="48" t="s">
        <v>17</v>
      </c>
      <c r="B197" s="49"/>
      <c r="C197" s="50"/>
      <c r="D197" s="50" t="s">
        <v>50</v>
      </c>
      <c r="E197" s="51"/>
      <c r="F197" s="50"/>
      <c r="G197" s="52"/>
      <c r="H197" s="53"/>
      <c r="I197" s="53"/>
      <c r="J197" s="53"/>
      <c r="K197" s="53"/>
      <c r="L197" s="53"/>
      <c r="M197" s="54"/>
      <c r="N197" s="55"/>
    </row>
    <row r="198" spans="1:14" hidden="1" x14ac:dyDescent="0.3">
      <c r="A198" s="55" t="s">
        <v>69</v>
      </c>
      <c r="B198" s="8">
        <f>2848320+15328390</f>
        <v>18176710</v>
      </c>
      <c r="C198" s="8">
        <f t="shared" ref="C198:C210" si="17">+D198+E198+F198+G198+H198+I198+J198+K198+L198+M198+N198</f>
        <v>9281675</v>
      </c>
      <c r="D198" s="8">
        <f>1424160+2543307</f>
        <v>3967467</v>
      </c>
      <c r="E198" s="9">
        <v>124309</v>
      </c>
      <c r="F198" s="8">
        <v>3139854</v>
      </c>
      <c r="G198" s="8">
        <v>594565</v>
      </c>
      <c r="H198" s="9">
        <v>191950</v>
      </c>
      <c r="I198" s="9"/>
      <c r="J198" s="9"/>
      <c r="K198" s="9">
        <v>220262</v>
      </c>
      <c r="L198" s="9">
        <v>1043268</v>
      </c>
      <c r="M198" s="9"/>
      <c r="N198" s="8"/>
    </row>
    <row r="199" spans="1:14" hidden="1" x14ac:dyDescent="0.3">
      <c r="A199" s="55" t="s">
        <v>70</v>
      </c>
      <c r="B199" s="8">
        <v>505680</v>
      </c>
      <c r="C199" s="8">
        <f t="shared" si="17"/>
        <v>244410</v>
      </c>
      <c r="D199" s="8">
        <v>164550</v>
      </c>
      <c r="E199" s="9"/>
      <c r="F199" s="8"/>
      <c r="G199" s="8"/>
      <c r="H199" s="9"/>
      <c r="I199" s="9"/>
      <c r="J199" s="9"/>
      <c r="K199" s="9"/>
      <c r="L199" s="9">
        <v>79860</v>
      </c>
      <c r="M199" s="9"/>
      <c r="N199" s="8"/>
    </row>
    <row r="200" spans="1:14" hidden="1" x14ac:dyDescent="0.3">
      <c r="A200" s="55" t="s">
        <v>71</v>
      </c>
      <c r="B200" s="8">
        <v>8906272</v>
      </c>
      <c r="C200" s="8">
        <f t="shared" si="17"/>
        <v>4271880</v>
      </c>
      <c r="D200" s="8">
        <v>918000</v>
      </c>
      <c r="E200" s="9">
        <v>639000</v>
      </c>
      <c r="F200" s="8">
        <v>1188000</v>
      </c>
      <c r="G200" s="8">
        <v>162000</v>
      </c>
      <c r="H200" s="9"/>
      <c r="I200" s="9">
        <v>540000</v>
      </c>
      <c r="J200" s="9"/>
      <c r="K200" s="9">
        <v>54000</v>
      </c>
      <c r="L200" s="9">
        <v>770880</v>
      </c>
      <c r="M200" s="9"/>
      <c r="N200" s="8"/>
    </row>
    <row r="201" spans="1:14" hidden="1" x14ac:dyDescent="0.3">
      <c r="A201" s="55" t="s">
        <v>72</v>
      </c>
      <c r="B201" s="56">
        <v>1403800</v>
      </c>
      <c r="C201" s="8">
        <f t="shared" si="17"/>
        <v>480240</v>
      </c>
      <c r="D201" s="8">
        <f>218273-2400</f>
        <v>215873</v>
      </c>
      <c r="E201" s="9">
        <v>15023</v>
      </c>
      <c r="F201" s="8">
        <v>43986</v>
      </c>
      <c r="G201" s="8">
        <v>75708</v>
      </c>
      <c r="H201" s="9">
        <v>3196</v>
      </c>
      <c r="I201" s="9"/>
      <c r="J201" s="9"/>
      <c r="K201" s="9"/>
      <c r="L201" s="9">
        <v>126454</v>
      </c>
      <c r="M201" s="9"/>
      <c r="N201" s="8"/>
    </row>
    <row r="202" spans="1:14" hidden="1" x14ac:dyDescent="0.3">
      <c r="A202" s="52" t="s">
        <v>73</v>
      </c>
      <c r="B202" s="56">
        <v>20812568</v>
      </c>
      <c r="C202" s="8">
        <f t="shared" si="17"/>
        <v>6863808.0499999998</v>
      </c>
      <c r="D202" s="8">
        <f>933355.05+2400</f>
        <v>935755.05</v>
      </c>
      <c r="E202" s="9">
        <v>245086</v>
      </c>
      <c r="F202" s="8">
        <v>3937824</v>
      </c>
      <c r="G202" s="8">
        <v>146000</v>
      </c>
      <c r="H202" s="9">
        <v>9282</v>
      </c>
      <c r="I202" s="9">
        <v>315750</v>
      </c>
      <c r="J202" s="9">
        <v>152795</v>
      </c>
      <c r="K202" s="9">
        <v>843231</v>
      </c>
      <c r="L202" s="9">
        <v>266085</v>
      </c>
      <c r="M202" s="9">
        <v>12000</v>
      </c>
      <c r="N202" s="8"/>
    </row>
    <row r="203" spans="1:14" hidden="1" x14ac:dyDescent="0.3">
      <c r="A203" s="52" t="s">
        <v>74</v>
      </c>
      <c r="B203" s="8">
        <v>9824579</v>
      </c>
      <c r="C203" s="8">
        <f t="shared" si="17"/>
        <v>2480234.88</v>
      </c>
      <c r="D203" s="8">
        <v>600709.93000000005</v>
      </c>
      <c r="E203" s="9">
        <v>35730</v>
      </c>
      <c r="F203" s="8">
        <v>1138940.8999999999</v>
      </c>
      <c r="G203" s="8"/>
      <c r="H203" s="9"/>
      <c r="I203" s="9">
        <v>232204.65</v>
      </c>
      <c r="J203" s="9"/>
      <c r="K203" s="9">
        <v>5000</v>
      </c>
      <c r="L203" s="9">
        <v>442649.4</v>
      </c>
      <c r="M203" s="9">
        <v>25000</v>
      </c>
      <c r="N203" s="8"/>
    </row>
    <row r="204" spans="1:14" hidden="1" x14ac:dyDescent="0.3">
      <c r="A204" s="55" t="s">
        <v>75</v>
      </c>
      <c r="B204" s="8">
        <v>1285000</v>
      </c>
      <c r="C204" s="8">
        <f t="shared" si="17"/>
        <v>538716.43000000005</v>
      </c>
      <c r="D204" s="8">
        <v>425878.44</v>
      </c>
      <c r="E204" s="9"/>
      <c r="F204" s="9">
        <v>106732.45</v>
      </c>
      <c r="G204" s="8"/>
      <c r="H204" s="9"/>
      <c r="I204" s="9"/>
      <c r="J204" s="9"/>
      <c r="K204" s="9">
        <v>6105.54</v>
      </c>
      <c r="L204" s="9"/>
      <c r="M204" s="9"/>
      <c r="N204" s="8"/>
    </row>
    <row r="205" spans="1:14" hidden="1" x14ac:dyDescent="0.3">
      <c r="A205" s="55" t="s">
        <v>76</v>
      </c>
      <c r="B205" s="8">
        <v>3627000</v>
      </c>
      <c r="C205" s="8">
        <f t="shared" si="17"/>
        <v>1465000</v>
      </c>
      <c r="D205" s="10">
        <v>10000</v>
      </c>
      <c r="E205" s="9"/>
      <c r="F205" s="8">
        <v>970000</v>
      </c>
      <c r="G205" s="8"/>
      <c r="H205" s="9"/>
      <c r="I205" s="9"/>
      <c r="J205" s="9">
        <v>345000</v>
      </c>
      <c r="K205" s="9">
        <v>140000</v>
      </c>
      <c r="L205" s="9"/>
      <c r="M205" s="9"/>
      <c r="N205" s="8"/>
    </row>
    <row r="206" spans="1:14" hidden="1" x14ac:dyDescent="0.3">
      <c r="A206" s="55" t="s">
        <v>77</v>
      </c>
      <c r="B206" s="8">
        <v>10000</v>
      </c>
      <c r="C206" s="8">
        <f t="shared" si="17"/>
        <v>0</v>
      </c>
      <c r="D206" s="8"/>
      <c r="E206" s="9"/>
      <c r="F206" s="8"/>
      <c r="G206" s="8"/>
      <c r="H206" s="9"/>
      <c r="I206" s="9"/>
      <c r="J206" s="9"/>
      <c r="K206" s="9"/>
      <c r="L206" s="9"/>
      <c r="M206" s="9"/>
      <c r="N206" s="8"/>
    </row>
    <row r="207" spans="1:14" hidden="1" x14ac:dyDescent="0.3">
      <c r="A207" s="55" t="s">
        <v>78</v>
      </c>
      <c r="B207" s="8">
        <v>7450391</v>
      </c>
      <c r="C207" s="8">
        <f t="shared" si="17"/>
        <v>2424564.5</v>
      </c>
      <c r="D207" s="8"/>
      <c r="E207" s="9"/>
      <c r="F207" s="8"/>
      <c r="G207" s="8"/>
      <c r="H207" s="9"/>
      <c r="I207" s="9"/>
      <c r="J207" s="9"/>
      <c r="K207" s="9"/>
      <c r="L207" s="9"/>
      <c r="M207" s="9"/>
      <c r="N207" s="8">
        <v>2424564.5</v>
      </c>
    </row>
    <row r="208" spans="1:14" hidden="1" x14ac:dyDescent="0.3">
      <c r="A208" s="55" t="s">
        <v>79</v>
      </c>
      <c r="B208" s="8">
        <v>1380000</v>
      </c>
      <c r="C208" s="8">
        <f t="shared" si="17"/>
        <v>164740</v>
      </c>
      <c r="D208" s="8">
        <v>21500</v>
      </c>
      <c r="E208" s="9">
        <v>16855</v>
      </c>
      <c r="F208" s="8">
        <v>100000</v>
      </c>
      <c r="G208" s="8">
        <v>26385</v>
      </c>
      <c r="H208" s="9"/>
      <c r="I208" s="9"/>
      <c r="J208" s="9"/>
      <c r="K208" s="9"/>
      <c r="L208" s="9"/>
      <c r="M208" s="9"/>
      <c r="N208" s="8"/>
    </row>
    <row r="209" spans="1:14" hidden="1" x14ac:dyDescent="0.3">
      <c r="A209" s="60" t="s">
        <v>80</v>
      </c>
      <c r="B209" s="8">
        <v>6618000</v>
      </c>
      <c r="C209" s="8">
        <f t="shared" si="17"/>
        <v>0</v>
      </c>
      <c r="D209" s="8"/>
      <c r="E209" s="9"/>
      <c r="F209" s="8"/>
      <c r="G209" s="8"/>
      <c r="H209" s="9"/>
      <c r="I209" s="9"/>
      <c r="J209" s="9"/>
      <c r="K209" s="9"/>
      <c r="L209" s="9"/>
      <c r="M209" s="9"/>
      <c r="N209" s="8"/>
    </row>
    <row r="210" spans="1:14" hidden="1" x14ac:dyDescent="0.3">
      <c r="A210" s="60" t="s">
        <v>99</v>
      </c>
      <c r="B210" s="8"/>
      <c r="C210" s="8">
        <f t="shared" si="17"/>
        <v>0</v>
      </c>
      <c r="D210" s="8"/>
      <c r="E210" s="9"/>
      <c r="F210" s="8"/>
      <c r="G210" s="8"/>
      <c r="H210" s="9"/>
      <c r="I210" s="9"/>
      <c r="J210" s="9"/>
      <c r="K210" s="9"/>
      <c r="L210" s="9"/>
      <c r="M210" s="9"/>
      <c r="N210" s="8"/>
    </row>
    <row r="211" spans="1:14" hidden="1" x14ac:dyDescent="0.3">
      <c r="A211" s="61" t="s">
        <v>81</v>
      </c>
      <c r="B211" s="14">
        <f>SUM(B198:B210)</f>
        <v>80000000</v>
      </c>
      <c r="C211" s="14">
        <f t="shared" ref="C211:N211" si="18">SUM(C198:C210)</f>
        <v>28215268.859999999</v>
      </c>
      <c r="D211" s="14">
        <f t="shared" si="18"/>
        <v>7259733.4199999999</v>
      </c>
      <c r="E211" s="14">
        <f t="shared" si="18"/>
        <v>1076003</v>
      </c>
      <c r="F211" s="14">
        <f t="shared" si="18"/>
        <v>10625337.35</v>
      </c>
      <c r="G211" s="14">
        <f t="shared" si="18"/>
        <v>1004658</v>
      </c>
      <c r="H211" s="14">
        <f t="shared" si="18"/>
        <v>204428</v>
      </c>
      <c r="I211" s="14">
        <f t="shared" si="18"/>
        <v>1087954.6499999999</v>
      </c>
      <c r="J211" s="14">
        <f t="shared" si="18"/>
        <v>497795</v>
      </c>
      <c r="K211" s="14">
        <f t="shared" si="18"/>
        <v>1268598.54</v>
      </c>
      <c r="L211" s="14">
        <f t="shared" si="18"/>
        <v>2729196.4</v>
      </c>
      <c r="M211" s="14">
        <f t="shared" si="18"/>
        <v>37000</v>
      </c>
      <c r="N211" s="14">
        <f t="shared" si="18"/>
        <v>2424564.5</v>
      </c>
    </row>
    <row r="212" spans="1:14" hidden="1" x14ac:dyDescent="0.3">
      <c r="A212" s="55" t="s">
        <v>82</v>
      </c>
      <c r="B212" s="8"/>
      <c r="C212" s="8">
        <f>+D212+E212+F212+G212+H212+I212+J212+K212+L212+M212+N212</f>
        <v>0</v>
      </c>
      <c r="D212" s="8"/>
      <c r="E212" s="9"/>
      <c r="F212" s="8"/>
      <c r="G212" s="56"/>
      <c r="H212" s="9"/>
      <c r="I212" s="9"/>
      <c r="J212" s="9"/>
      <c r="K212" s="9"/>
      <c r="L212" s="9"/>
      <c r="M212" s="9"/>
      <c r="N212" s="8"/>
    </row>
    <row r="213" spans="1:14" hidden="1" x14ac:dyDescent="0.3">
      <c r="A213" s="55" t="s">
        <v>29</v>
      </c>
      <c r="B213" s="8"/>
      <c r="C213" s="8">
        <f>+D213+E213+F213+G213+H213+I213+J213+K213+L213+M213+N213</f>
        <v>0</v>
      </c>
      <c r="D213" s="8"/>
      <c r="E213" s="9"/>
      <c r="F213" s="8"/>
      <c r="G213" s="56"/>
      <c r="H213" s="9"/>
      <c r="I213" s="9"/>
      <c r="J213" s="9"/>
      <c r="K213" s="9"/>
      <c r="L213" s="9"/>
      <c r="M213" s="9"/>
      <c r="N213" s="8"/>
    </row>
    <row r="214" spans="1:14" ht="19.5" hidden="1" thickBot="1" x14ac:dyDescent="0.35">
      <c r="A214" s="48" t="s">
        <v>83</v>
      </c>
      <c r="B214" s="62">
        <f>+B211</f>
        <v>80000000</v>
      </c>
      <c r="C214" s="62">
        <f t="shared" ref="C214:N214" si="19">+C211+C212+C213</f>
        <v>28215268.859999999</v>
      </c>
      <c r="D214" s="62">
        <f t="shared" si="19"/>
        <v>7259733.4199999999</v>
      </c>
      <c r="E214" s="62">
        <f t="shared" si="19"/>
        <v>1076003</v>
      </c>
      <c r="F214" s="62">
        <f t="shared" si="19"/>
        <v>10625337.35</v>
      </c>
      <c r="G214" s="62">
        <f t="shared" si="19"/>
        <v>1004658</v>
      </c>
      <c r="H214" s="62">
        <f t="shared" si="19"/>
        <v>204428</v>
      </c>
      <c r="I214" s="62">
        <f t="shared" si="19"/>
        <v>1087954.6499999999</v>
      </c>
      <c r="J214" s="62">
        <f t="shared" si="19"/>
        <v>497795</v>
      </c>
      <c r="K214" s="62">
        <f t="shared" si="19"/>
        <v>1268598.54</v>
      </c>
      <c r="L214" s="62">
        <f t="shared" si="19"/>
        <v>2729196.4</v>
      </c>
      <c r="M214" s="62">
        <f t="shared" si="19"/>
        <v>37000</v>
      </c>
      <c r="N214" s="62">
        <f t="shared" si="19"/>
        <v>2424564.5</v>
      </c>
    </row>
    <row r="215" spans="1:14" ht="19.5" hidden="1" thickTop="1" x14ac:dyDescent="0.3">
      <c r="A215" s="48" t="s">
        <v>38</v>
      </c>
      <c r="B215" s="63"/>
      <c r="C215" s="8"/>
      <c r="D215" s="8"/>
      <c r="E215" s="8"/>
      <c r="F215" s="8"/>
      <c r="G215" s="56"/>
      <c r="H215" s="8"/>
      <c r="I215" s="8"/>
      <c r="J215" s="8"/>
      <c r="K215" s="8"/>
      <c r="L215" s="8"/>
      <c r="M215" s="64"/>
      <c r="N215" s="8"/>
    </row>
    <row r="216" spans="1:14" hidden="1" x14ac:dyDescent="0.3">
      <c r="A216" s="55" t="s">
        <v>84</v>
      </c>
      <c r="B216" s="8">
        <v>985000</v>
      </c>
      <c r="C216" s="8">
        <v>1237533.67</v>
      </c>
      <c r="D216" s="8"/>
      <c r="E216" s="8"/>
      <c r="F216" s="8"/>
      <c r="G216" s="56"/>
      <c r="H216" s="8"/>
      <c r="I216" s="8"/>
      <c r="J216" s="8"/>
      <c r="K216" s="8"/>
      <c r="L216" s="8"/>
      <c r="M216" s="64"/>
      <c r="N216" s="8"/>
    </row>
    <row r="217" spans="1:14" hidden="1" x14ac:dyDescent="0.3">
      <c r="A217" s="55" t="s">
        <v>85</v>
      </c>
      <c r="B217" s="8">
        <v>574500</v>
      </c>
      <c r="C217" s="8">
        <v>971480.04</v>
      </c>
      <c r="D217" s="8"/>
      <c r="E217" s="8"/>
      <c r="F217" s="8"/>
      <c r="G217" s="56"/>
      <c r="H217" s="8"/>
      <c r="I217" s="8"/>
      <c r="J217" s="8"/>
      <c r="K217" s="8"/>
      <c r="L217" s="8"/>
      <c r="M217" s="64"/>
      <c r="N217" s="8"/>
    </row>
    <row r="218" spans="1:14" hidden="1" x14ac:dyDescent="0.3">
      <c r="A218" s="55" t="s">
        <v>86</v>
      </c>
      <c r="B218" s="8">
        <v>920000</v>
      </c>
      <c r="C218" s="8">
        <v>431639.77</v>
      </c>
      <c r="D218" s="8"/>
      <c r="E218" s="8"/>
      <c r="F218" s="8"/>
      <c r="G218" s="56"/>
      <c r="H218" s="8"/>
      <c r="I218" s="8"/>
      <c r="J218" s="8"/>
      <c r="K218" s="8"/>
      <c r="L218" s="8"/>
      <c r="M218" s="64"/>
      <c r="N218" s="8"/>
    </row>
    <row r="219" spans="1:14" hidden="1" x14ac:dyDescent="0.3">
      <c r="A219" s="55" t="s">
        <v>87</v>
      </c>
      <c r="B219" s="8">
        <v>110500</v>
      </c>
      <c r="C219" s="8">
        <v>216640</v>
      </c>
      <c r="D219" s="8"/>
      <c r="E219" s="8"/>
      <c r="F219" s="8"/>
      <c r="G219" s="56"/>
      <c r="H219" s="8"/>
      <c r="I219" s="8"/>
      <c r="J219" s="8"/>
      <c r="K219" s="8"/>
      <c r="L219" s="8"/>
      <c r="M219" s="64"/>
      <c r="N219" s="8"/>
    </row>
    <row r="220" spans="1:14" hidden="1" x14ac:dyDescent="0.3">
      <c r="A220" s="55" t="s">
        <v>88</v>
      </c>
      <c r="B220" s="8">
        <v>41410000</v>
      </c>
      <c r="C220" s="8">
        <v>27843924.420000002</v>
      </c>
      <c r="D220" s="8"/>
      <c r="E220" s="65"/>
      <c r="F220" s="8"/>
      <c r="G220" s="56"/>
      <c r="H220" s="8"/>
      <c r="I220" s="8"/>
      <c r="J220" s="8"/>
      <c r="K220" s="8"/>
      <c r="L220" s="8"/>
      <c r="M220" s="64"/>
      <c r="N220" s="8"/>
    </row>
    <row r="221" spans="1:14" hidden="1" x14ac:dyDescent="0.3">
      <c r="A221" s="55" t="s">
        <v>89</v>
      </c>
      <c r="B221" s="8">
        <v>36000000</v>
      </c>
      <c r="C221" s="8">
        <v>27837398</v>
      </c>
      <c r="D221" s="8"/>
      <c r="E221" s="65"/>
      <c r="F221" s="8"/>
      <c r="G221" s="56"/>
      <c r="H221" s="8"/>
      <c r="I221" s="8"/>
      <c r="J221" s="8"/>
      <c r="K221" s="8"/>
      <c r="L221" s="8"/>
      <c r="M221" s="64"/>
      <c r="N221" s="8"/>
    </row>
    <row r="222" spans="1:14" hidden="1" x14ac:dyDescent="0.3">
      <c r="A222" s="55" t="s">
        <v>90</v>
      </c>
      <c r="B222" s="8">
        <v>0</v>
      </c>
      <c r="C222" s="8">
        <v>0</v>
      </c>
      <c r="D222" s="8"/>
      <c r="E222" s="65"/>
      <c r="F222" s="8"/>
      <c r="G222" s="56"/>
      <c r="H222" s="8"/>
      <c r="I222" s="8"/>
      <c r="J222" s="8"/>
      <c r="K222" s="8"/>
      <c r="L222" s="8"/>
      <c r="M222" s="64"/>
      <c r="N222" s="8"/>
    </row>
    <row r="223" spans="1:14" hidden="1" x14ac:dyDescent="0.3">
      <c r="A223" s="55" t="s">
        <v>91</v>
      </c>
      <c r="B223" s="8">
        <v>0</v>
      </c>
      <c r="C223" s="8">
        <v>0</v>
      </c>
      <c r="D223" s="8"/>
      <c r="E223" s="8"/>
      <c r="F223" s="8"/>
      <c r="G223" s="56"/>
      <c r="H223" s="8"/>
      <c r="I223" s="8"/>
      <c r="J223" s="8"/>
      <c r="K223" s="8"/>
      <c r="L223" s="8"/>
      <c r="M223" s="64"/>
      <c r="N223" s="8"/>
    </row>
    <row r="224" spans="1:14" hidden="1" x14ac:dyDescent="0.3">
      <c r="A224" s="55" t="s">
        <v>100</v>
      </c>
      <c r="B224" s="8"/>
      <c r="C224" s="8">
        <v>0</v>
      </c>
      <c r="D224" s="8"/>
      <c r="E224" s="8"/>
      <c r="F224" s="8"/>
      <c r="G224" s="56"/>
      <c r="H224" s="8"/>
      <c r="I224" s="8"/>
      <c r="J224" s="8"/>
      <c r="K224" s="8"/>
      <c r="L224" s="8"/>
      <c r="M224" s="64"/>
      <c r="N224" s="8"/>
    </row>
    <row r="225" spans="1:14" ht="19.5" hidden="1" thickBot="1" x14ac:dyDescent="0.35">
      <c r="A225" s="66" t="s">
        <v>92</v>
      </c>
      <c r="B225" s="62">
        <f>SUM(B216:B224)</f>
        <v>80000000</v>
      </c>
      <c r="C225" s="62">
        <f t="shared" ref="C225:N225" si="20">SUM(C216:C224)</f>
        <v>58538615.900000006</v>
      </c>
      <c r="D225" s="62">
        <f t="shared" si="20"/>
        <v>0</v>
      </c>
      <c r="E225" s="62">
        <f t="shared" si="20"/>
        <v>0</v>
      </c>
      <c r="F225" s="62">
        <f t="shared" si="20"/>
        <v>0</v>
      </c>
      <c r="G225" s="62">
        <f t="shared" si="20"/>
        <v>0</v>
      </c>
      <c r="H225" s="62">
        <f t="shared" si="20"/>
        <v>0</v>
      </c>
      <c r="I225" s="62">
        <f t="shared" si="20"/>
        <v>0</v>
      </c>
      <c r="J225" s="62">
        <f t="shared" si="20"/>
        <v>0</v>
      </c>
      <c r="K225" s="62">
        <f t="shared" si="20"/>
        <v>0</v>
      </c>
      <c r="L225" s="62">
        <f t="shared" si="20"/>
        <v>0</v>
      </c>
      <c r="M225" s="62">
        <f t="shared" si="20"/>
        <v>0</v>
      </c>
      <c r="N225" s="62">
        <f t="shared" si="20"/>
        <v>0</v>
      </c>
    </row>
    <row r="226" spans="1:14" ht="20.25" hidden="1" thickTop="1" thickBot="1" x14ac:dyDescent="0.35">
      <c r="A226" s="70" t="s">
        <v>93</v>
      </c>
      <c r="B226" s="71"/>
      <c r="C226" s="72">
        <f>+C225-C214</f>
        <v>30323347.040000007</v>
      </c>
      <c r="D226" s="73"/>
      <c r="E226" s="74"/>
      <c r="F226" s="74"/>
      <c r="G226" s="75"/>
      <c r="H226" s="74"/>
      <c r="I226" s="74"/>
      <c r="J226" s="74"/>
      <c r="K226" s="74"/>
      <c r="L226" s="74"/>
      <c r="M226" s="76"/>
      <c r="N226" s="74"/>
    </row>
    <row r="227" spans="1:14" ht="19.5" hidden="1" thickTop="1" x14ac:dyDescent="0.3">
      <c r="A227" s="70"/>
      <c r="B227" s="77"/>
      <c r="C227" s="74"/>
      <c r="D227" s="74"/>
      <c r="E227" s="74"/>
      <c r="F227" s="74"/>
      <c r="G227" s="75"/>
      <c r="H227" s="74"/>
      <c r="I227" s="74"/>
      <c r="J227" s="74"/>
      <c r="K227" s="74"/>
      <c r="L227" s="74"/>
      <c r="M227" s="76"/>
      <c r="N227" s="74"/>
    </row>
    <row r="228" spans="1:14" hidden="1" x14ac:dyDescent="0.3">
      <c r="A228" s="70"/>
      <c r="B228" s="77"/>
      <c r="C228" s="74"/>
      <c r="D228" s="74"/>
      <c r="E228" s="74"/>
      <c r="F228" s="74"/>
      <c r="G228" s="75"/>
      <c r="H228" s="74"/>
      <c r="I228" s="74"/>
      <c r="J228" s="74"/>
      <c r="K228" s="74"/>
      <c r="L228" s="74"/>
      <c r="M228" s="76"/>
      <c r="N228" s="74"/>
    </row>
    <row r="229" spans="1:14" hidden="1" x14ac:dyDescent="0.3">
      <c r="A229" s="83" t="s">
        <v>48</v>
      </c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</row>
    <row r="230" spans="1:14" hidden="1" x14ac:dyDescent="0.3">
      <c r="A230" s="83" t="s">
        <v>1</v>
      </c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</row>
    <row r="231" spans="1:14" hidden="1" x14ac:dyDescent="0.3">
      <c r="A231" s="84" t="s">
        <v>101</v>
      </c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</row>
    <row r="232" spans="1:14" hidden="1" x14ac:dyDescent="0.3">
      <c r="A232" s="33" t="s">
        <v>50</v>
      </c>
      <c r="B232" s="33" t="s">
        <v>50</v>
      </c>
      <c r="C232" s="33" t="s">
        <v>50</v>
      </c>
      <c r="D232" s="33" t="s">
        <v>51</v>
      </c>
      <c r="E232" s="34" t="s">
        <v>52</v>
      </c>
      <c r="F232" s="33"/>
      <c r="G232" s="35"/>
      <c r="H232" s="34" t="s">
        <v>53</v>
      </c>
      <c r="I232" s="34" t="s">
        <v>54</v>
      </c>
      <c r="J232" s="34" t="s">
        <v>55</v>
      </c>
      <c r="K232" s="34" t="s">
        <v>56</v>
      </c>
      <c r="L232" s="34" t="s">
        <v>57</v>
      </c>
      <c r="M232" s="34"/>
      <c r="N232" s="36"/>
    </row>
    <row r="233" spans="1:14" hidden="1" x14ac:dyDescent="0.3">
      <c r="A233" s="40"/>
      <c r="B233" s="41" t="s">
        <v>4</v>
      </c>
      <c r="C233" s="41" t="s">
        <v>5</v>
      </c>
      <c r="D233" s="41" t="s">
        <v>58</v>
      </c>
      <c r="E233" s="42" t="s">
        <v>59</v>
      </c>
      <c r="F233" s="41" t="s">
        <v>8</v>
      </c>
      <c r="G233" s="43" t="s">
        <v>9</v>
      </c>
      <c r="H233" s="42" t="s">
        <v>60</v>
      </c>
      <c r="I233" s="42" t="s">
        <v>61</v>
      </c>
      <c r="J233" s="42" t="s">
        <v>62</v>
      </c>
      <c r="K233" s="42" t="s">
        <v>63</v>
      </c>
      <c r="L233" s="42" t="s">
        <v>64</v>
      </c>
      <c r="M233" s="42" t="s">
        <v>15</v>
      </c>
      <c r="N233" s="41" t="s">
        <v>16</v>
      </c>
    </row>
    <row r="234" spans="1:14" hidden="1" x14ac:dyDescent="0.3">
      <c r="A234" s="44"/>
      <c r="B234" s="44"/>
      <c r="C234" s="44"/>
      <c r="D234" s="44"/>
      <c r="E234" s="45" t="s">
        <v>65</v>
      </c>
      <c r="F234" s="44"/>
      <c r="G234" s="46"/>
      <c r="H234" s="45"/>
      <c r="I234" s="45"/>
      <c r="J234" s="45" t="s">
        <v>66</v>
      </c>
      <c r="K234" s="45" t="s">
        <v>67</v>
      </c>
      <c r="L234" s="45" t="s">
        <v>68</v>
      </c>
      <c r="M234" s="45"/>
      <c r="N234" s="47"/>
    </row>
    <row r="235" spans="1:14" hidden="1" x14ac:dyDescent="0.3">
      <c r="A235" s="48" t="s">
        <v>17</v>
      </c>
      <c r="B235" s="49"/>
      <c r="C235" s="50"/>
      <c r="D235" s="50" t="s">
        <v>50</v>
      </c>
      <c r="E235" s="51"/>
      <c r="F235" s="50"/>
      <c r="G235" s="52"/>
      <c r="H235" s="53"/>
      <c r="I235" s="53"/>
      <c r="J235" s="53"/>
      <c r="K235" s="53"/>
      <c r="L235" s="53"/>
      <c r="M235" s="54"/>
      <c r="N235" s="55"/>
    </row>
    <row r="236" spans="1:14" hidden="1" x14ac:dyDescent="0.3">
      <c r="A236" s="55" t="s">
        <v>69</v>
      </c>
      <c r="B236" s="8">
        <v>21294040</v>
      </c>
      <c r="C236" s="8">
        <f t="shared" ref="C236:C248" si="21">+D236+E236+F236+G236+H236+I236+J236+K236+L236+M236+N236</f>
        <v>11730706</v>
      </c>
      <c r="D236" s="8">
        <f>1792000+3502135</f>
        <v>5294135</v>
      </c>
      <c r="E236" s="9">
        <v>109080</v>
      </c>
      <c r="F236" s="8">
        <v>4352855</v>
      </c>
      <c r="G236" s="8">
        <v>621630</v>
      </c>
      <c r="H236" s="9">
        <v>212220</v>
      </c>
      <c r="I236" s="9"/>
      <c r="J236" s="9"/>
      <c r="K236" s="9">
        <v>145870</v>
      </c>
      <c r="L236" s="9">
        <v>994916</v>
      </c>
      <c r="M236" s="9"/>
      <c r="N236" s="8"/>
    </row>
    <row r="237" spans="1:14" hidden="1" x14ac:dyDescent="0.3">
      <c r="A237" s="55" t="s">
        <v>70</v>
      </c>
      <c r="B237" s="8">
        <v>506340</v>
      </c>
      <c r="C237" s="8">
        <f t="shared" si="21"/>
        <v>359955</v>
      </c>
      <c r="D237" s="8">
        <v>239925</v>
      </c>
      <c r="E237" s="9"/>
      <c r="F237" s="8"/>
      <c r="G237" s="8"/>
      <c r="H237" s="9"/>
      <c r="I237" s="9"/>
      <c r="J237" s="9"/>
      <c r="K237" s="9"/>
      <c r="L237" s="9">
        <v>120030</v>
      </c>
      <c r="M237" s="9"/>
      <c r="N237" s="8"/>
    </row>
    <row r="238" spans="1:14" hidden="1" x14ac:dyDescent="0.3">
      <c r="A238" s="55" t="s">
        <v>71</v>
      </c>
      <c r="B238" s="8">
        <v>11097360</v>
      </c>
      <c r="C238" s="8">
        <f t="shared" si="21"/>
        <v>5532016</v>
      </c>
      <c r="D238" s="8">
        <v>1325664</v>
      </c>
      <c r="E238" s="9">
        <v>777910</v>
      </c>
      <c r="F238" s="8">
        <v>1184740</v>
      </c>
      <c r="G238" s="8">
        <v>1043302</v>
      </c>
      <c r="H238" s="9"/>
      <c r="I238" s="9"/>
      <c r="J238" s="9"/>
      <c r="K238" s="9">
        <v>79730</v>
      </c>
      <c r="L238" s="9">
        <v>1120670</v>
      </c>
      <c r="M238" s="9"/>
      <c r="N238" s="8"/>
    </row>
    <row r="239" spans="1:14" hidden="1" x14ac:dyDescent="0.3">
      <c r="A239" s="55" t="s">
        <v>72</v>
      </c>
      <c r="B239" s="56">
        <v>1431210</v>
      </c>
      <c r="C239" s="8">
        <f t="shared" si="21"/>
        <v>466721</v>
      </c>
      <c r="D239" s="8">
        <v>299306</v>
      </c>
      <c r="E239" s="9">
        <v>12700</v>
      </c>
      <c r="F239" s="8">
        <v>17500</v>
      </c>
      <c r="G239" s="8">
        <v>63845</v>
      </c>
      <c r="H239" s="9">
        <v>6000</v>
      </c>
      <c r="I239" s="9"/>
      <c r="J239" s="9"/>
      <c r="K239" s="9"/>
      <c r="L239" s="9">
        <v>67370</v>
      </c>
      <c r="M239" s="9"/>
      <c r="N239" s="8"/>
    </row>
    <row r="240" spans="1:14" hidden="1" x14ac:dyDescent="0.3">
      <c r="A240" s="52" t="s">
        <v>73</v>
      </c>
      <c r="B240" s="56">
        <v>17394160</v>
      </c>
      <c r="C240" s="8">
        <f t="shared" si="21"/>
        <v>7544729.2999999998</v>
      </c>
      <c r="D240" s="8">
        <v>809243.5</v>
      </c>
      <c r="E240" s="9">
        <v>250318</v>
      </c>
      <c r="F240" s="8">
        <v>3940292</v>
      </c>
      <c r="G240" s="8">
        <v>172366</v>
      </c>
      <c r="H240" s="9"/>
      <c r="I240" s="9">
        <v>427000</v>
      </c>
      <c r="J240" s="9">
        <v>184093</v>
      </c>
      <c r="K240" s="9">
        <v>1321895</v>
      </c>
      <c r="L240" s="9">
        <v>432771.8</v>
      </c>
      <c r="M240" s="9">
        <v>6750</v>
      </c>
      <c r="N240" s="8"/>
    </row>
    <row r="241" spans="1:14" hidden="1" x14ac:dyDescent="0.3">
      <c r="A241" s="52" t="s">
        <v>74</v>
      </c>
      <c r="B241" s="8">
        <v>6194720</v>
      </c>
      <c r="C241" s="8">
        <f t="shared" si="21"/>
        <v>2599634.2000000002</v>
      </c>
      <c r="D241" s="8">
        <v>623546.05000000005</v>
      </c>
      <c r="E241" s="9">
        <v>47280</v>
      </c>
      <c r="F241" s="8">
        <v>1000877.45</v>
      </c>
      <c r="G241" s="8">
        <v>42314</v>
      </c>
      <c r="H241" s="9"/>
      <c r="I241" s="9">
        <v>88105.2</v>
      </c>
      <c r="J241" s="9"/>
      <c r="K241" s="9">
        <v>4960</v>
      </c>
      <c r="L241" s="9">
        <v>736551.5</v>
      </c>
      <c r="M241" s="9">
        <v>56000</v>
      </c>
      <c r="N241" s="8"/>
    </row>
    <row r="242" spans="1:14" hidden="1" x14ac:dyDescent="0.3">
      <c r="A242" s="55" t="s">
        <v>75</v>
      </c>
      <c r="B242" s="8">
        <v>1165000</v>
      </c>
      <c r="C242" s="8">
        <f t="shared" si="21"/>
        <v>603551.9</v>
      </c>
      <c r="D242" s="8">
        <v>502996.07</v>
      </c>
      <c r="E242" s="9"/>
      <c r="F242" s="9">
        <v>93403.53</v>
      </c>
      <c r="G242" s="8"/>
      <c r="H242" s="9"/>
      <c r="I242" s="9"/>
      <c r="J242" s="9"/>
      <c r="K242" s="9">
        <v>7152.3</v>
      </c>
      <c r="L242" s="9"/>
      <c r="M242" s="9"/>
      <c r="N242" s="8"/>
    </row>
    <row r="243" spans="1:14" hidden="1" x14ac:dyDescent="0.3">
      <c r="A243" s="55" t="s">
        <v>76</v>
      </c>
      <c r="B243" s="8">
        <v>3509100</v>
      </c>
      <c r="C243" s="8">
        <f t="shared" si="21"/>
        <v>1490389.07</v>
      </c>
      <c r="D243" s="10">
        <v>65000</v>
      </c>
      <c r="E243" s="9">
        <v>10000</v>
      </c>
      <c r="F243" s="8">
        <v>858000</v>
      </c>
      <c r="G243" s="8"/>
      <c r="H243" s="9"/>
      <c r="I243" s="9">
        <v>282389.07</v>
      </c>
      <c r="J243" s="9">
        <v>135000</v>
      </c>
      <c r="K243" s="9">
        <v>140000</v>
      </c>
      <c r="L243" s="9"/>
      <c r="M243" s="9"/>
      <c r="N243" s="8"/>
    </row>
    <row r="244" spans="1:14" hidden="1" x14ac:dyDescent="0.3">
      <c r="A244" s="55" t="s">
        <v>77</v>
      </c>
      <c r="B244" s="8">
        <v>10000</v>
      </c>
      <c r="C244" s="8">
        <f t="shared" si="21"/>
        <v>0</v>
      </c>
      <c r="D244" s="8"/>
      <c r="E244" s="9"/>
      <c r="F244" s="8"/>
      <c r="G244" s="8"/>
      <c r="H244" s="9"/>
      <c r="I244" s="9"/>
      <c r="J244" s="9"/>
      <c r="K244" s="9"/>
      <c r="L244" s="9"/>
      <c r="M244" s="9"/>
      <c r="N244" s="8"/>
    </row>
    <row r="245" spans="1:14" hidden="1" x14ac:dyDescent="0.3">
      <c r="A245" s="55" t="s">
        <v>78</v>
      </c>
      <c r="B245" s="8">
        <v>7526270</v>
      </c>
      <c r="C245" s="8">
        <f t="shared" si="21"/>
        <v>2424564.5</v>
      </c>
      <c r="D245" s="8"/>
      <c r="E245" s="9"/>
      <c r="F245" s="8"/>
      <c r="G245" s="8"/>
      <c r="H245" s="9"/>
      <c r="I245" s="9"/>
      <c r="J245" s="9"/>
      <c r="K245" s="9"/>
      <c r="L245" s="9"/>
      <c r="M245" s="9"/>
      <c r="N245" s="8">
        <v>2424564.5</v>
      </c>
    </row>
    <row r="246" spans="1:14" hidden="1" x14ac:dyDescent="0.3">
      <c r="A246" s="55" t="s">
        <v>79</v>
      </c>
      <c r="B246" s="8">
        <v>1674000</v>
      </c>
      <c r="C246" s="8">
        <f t="shared" si="21"/>
        <v>81915.649999999994</v>
      </c>
      <c r="D246" s="8">
        <v>29642.42</v>
      </c>
      <c r="E246" s="9"/>
      <c r="F246" s="8"/>
      <c r="G246" s="8"/>
      <c r="H246" s="9"/>
      <c r="I246" s="9"/>
      <c r="J246" s="9"/>
      <c r="K246" s="9"/>
      <c r="L246" s="9">
        <v>52273.23</v>
      </c>
      <c r="M246" s="9"/>
      <c r="N246" s="8"/>
    </row>
    <row r="247" spans="1:14" hidden="1" x14ac:dyDescent="0.3">
      <c r="A247" s="60" t="s">
        <v>80</v>
      </c>
      <c r="B247" s="8">
        <v>8197800</v>
      </c>
      <c r="C247" s="8">
        <f t="shared" si="21"/>
        <v>704138</v>
      </c>
      <c r="D247" s="8"/>
      <c r="E247" s="9">
        <v>173338</v>
      </c>
      <c r="F247" s="8"/>
      <c r="G247" s="8"/>
      <c r="H247" s="9"/>
      <c r="I247" s="9"/>
      <c r="J247" s="9"/>
      <c r="K247" s="9"/>
      <c r="L247" s="9">
        <v>530800</v>
      </c>
      <c r="M247" s="9"/>
      <c r="N247" s="8"/>
    </row>
    <row r="248" spans="1:14" hidden="1" x14ac:dyDescent="0.3">
      <c r="A248" s="60" t="s">
        <v>99</v>
      </c>
      <c r="B248" s="8"/>
      <c r="C248" s="8">
        <f t="shared" si="21"/>
        <v>0</v>
      </c>
      <c r="D248" s="8"/>
      <c r="E248" s="9"/>
      <c r="F248" s="8"/>
      <c r="G248" s="8"/>
      <c r="H248" s="9"/>
      <c r="I248" s="9"/>
      <c r="J248" s="9"/>
      <c r="K248" s="9"/>
      <c r="L248" s="9"/>
      <c r="M248" s="9"/>
      <c r="N248" s="8"/>
    </row>
    <row r="249" spans="1:14" hidden="1" x14ac:dyDescent="0.3">
      <c r="A249" s="61" t="s">
        <v>81</v>
      </c>
      <c r="B249" s="14">
        <f>SUM(B236:B248)</f>
        <v>80000000</v>
      </c>
      <c r="C249" s="14">
        <f t="shared" ref="C249:N249" si="22">SUM(C236:C248)</f>
        <v>33538320.619999997</v>
      </c>
      <c r="D249" s="14">
        <f t="shared" si="22"/>
        <v>9189458.040000001</v>
      </c>
      <c r="E249" s="14">
        <f t="shared" si="22"/>
        <v>1380626</v>
      </c>
      <c r="F249" s="14">
        <f t="shared" si="22"/>
        <v>11447667.979999999</v>
      </c>
      <c r="G249" s="14">
        <f t="shared" si="22"/>
        <v>1943457</v>
      </c>
      <c r="H249" s="14">
        <f t="shared" si="22"/>
        <v>218220</v>
      </c>
      <c r="I249" s="14">
        <f t="shared" si="22"/>
        <v>797494.27</v>
      </c>
      <c r="J249" s="14">
        <f t="shared" si="22"/>
        <v>319093</v>
      </c>
      <c r="K249" s="14">
        <f t="shared" si="22"/>
        <v>1699607.3</v>
      </c>
      <c r="L249" s="14">
        <f t="shared" si="22"/>
        <v>4055382.53</v>
      </c>
      <c r="M249" s="14">
        <f t="shared" si="22"/>
        <v>62750</v>
      </c>
      <c r="N249" s="14">
        <f t="shared" si="22"/>
        <v>2424564.5</v>
      </c>
    </row>
    <row r="250" spans="1:14" hidden="1" x14ac:dyDescent="0.3">
      <c r="A250" s="55" t="s">
        <v>82</v>
      </c>
      <c r="B250" s="8"/>
      <c r="C250" s="8">
        <f>+D250+E250+F250+G250+H250+I250+J250+K250+L250+M250+N250</f>
        <v>0</v>
      </c>
      <c r="D250" s="8"/>
      <c r="E250" s="9"/>
      <c r="F250" s="8"/>
      <c r="G250" s="56"/>
      <c r="H250" s="9"/>
      <c r="I250" s="9"/>
      <c r="J250" s="9"/>
      <c r="K250" s="9"/>
      <c r="L250" s="9"/>
      <c r="M250" s="9"/>
      <c r="N250" s="8"/>
    </row>
    <row r="251" spans="1:14" hidden="1" x14ac:dyDescent="0.3">
      <c r="A251" s="55" t="s">
        <v>29</v>
      </c>
      <c r="B251" s="8"/>
      <c r="C251" s="8">
        <f>+D251+E251+F251+G251+H251+I251+J251+K251+L251+M251+N251</f>
        <v>0</v>
      </c>
      <c r="D251" s="8"/>
      <c r="E251" s="9"/>
      <c r="F251" s="8"/>
      <c r="G251" s="56"/>
      <c r="H251" s="9"/>
      <c r="I251" s="9"/>
      <c r="J251" s="9"/>
      <c r="K251" s="9"/>
      <c r="L251" s="9"/>
      <c r="M251" s="9"/>
      <c r="N251" s="8"/>
    </row>
    <row r="252" spans="1:14" ht="19.5" hidden="1" thickBot="1" x14ac:dyDescent="0.35">
      <c r="A252" s="48" t="s">
        <v>83</v>
      </c>
      <c r="B252" s="62">
        <f>+B249</f>
        <v>80000000</v>
      </c>
      <c r="C252" s="62">
        <f t="shared" ref="C252:N252" si="23">+C249+C250+C251</f>
        <v>33538320.619999997</v>
      </c>
      <c r="D252" s="62">
        <f t="shared" si="23"/>
        <v>9189458.040000001</v>
      </c>
      <c r="E252" s="62">
        <f t="shared" si="23"/>
        <v>1380626</v>
      </c>
      <c r="F252" s="62">
        <f t="shared" si="23"/>
        <v>11447667.979999999</v>
      </c>
      <c r="G252" s="62">
        <f t="shared" si="23"/>
        <v>1943457</v>
      </c>
      <c r="H252" s="62">
        <f t="shared" si="23"/>
        <v>218220</v>
      </c>
      <c r="I252" s="62">
        <f t="shared" si="23"/>
        <v>797494.27</v>
      </c>
      <c r="J252" s="62">
        <f t="shared" si="23"/>
        <v>319093</v>
      </c>
      <c r="K252" s="62">
        <f t="shared" si="23"/>
        <v>1699607.3</v>
      </c>
      <c r="L252" s="62">
        <f t="shared" si="23"/>
        <v>4055382.53</v>
      </c>
      <c r="M252" s="62">
        <f t="shared" si="23"/>
        <v>62750</v>
      </c>
      <c r="N252" s="62">
        <f t="shared" si="23"/>
        <v>2424564.5</v>
      </c>
    </row>
    <row r="253" spans="1:14" ht="19.5" hidden="1" thickTop="1" x14ac:dyDescent="0.3">
      <c r="A253" s="48" t="s">
        <v>38</v>
      </c>
      <c r="B253" s="63"/>
      <c r="C253" s="8"/>
      <c r="D253" s="8"/>
      <c r="E253" s="8"/>
      <c r="F253" s="8"/>
      <c r="G253" s="56"/>
      <c r="H253" s="8"/>
      <c r="I253" s="8"/>
      <c r="J253" s="8"/>
      <c r="K253" s="8"/>
      <c r="L253" s="8"/>
      <c r="M253" s="64"/>
      <c r="N253" s="8"/>
    </row>
    <row r="254" spans="1:14" hidden="1" x14ac:dyDescent="0.3">
      <c r="A254" s="55" t="s">
        <v>84</v>
      </c>
      <c r="B254" s="8">
        <v>1110000</v>
      </c>
      <c r="C254" s="8">
        <v>1237533.67</v>
      </c>
      <c r="D254" s="8"/>
      <c r="E254" s="8"/>
      <c r="F254" s="8"/>
      <c r="G254" s="56"/>
      <c r="H254" s="8"/>
      <c r="I254" s="8"/>
      <c r="J254" s="8"/>
      <c r="K254" s="8"/>
      <c r="L254" s="8"/>
      <c r="M254" s="64"/>
      <c r="N254" s="8"/>
    </row>
    <row r="255" spans="1:14" hidden="1" x14ac:dyDescent="0.3">
      <c r="A255" s="55" t="s">
        <v>85</v>
      </c>
      <c r="B255" s="8">
        <v>594000</v>
      </c>
      <c r="C255" s="8">
        <v>971480.04</v>
      </c>
      <c r="D255" s="8"/>
      <c r="E255" s="8"/>
      <c r="F255" s="8"/>
      <c r="G255" s="56"/>
      <c r="H255" s="8"/>
      <c r="I255" s="8"/>
      <c r="J255" s="8"/>
      <c r="K255" s="8"/>
      <c r="L255" s="8"/>
      <c r="M255" s="64"/>
      <c r="N255" s="8"/>
    </row>
    <row r="256" spans="1:14" hidden="1" x14ac:dyDescent="0.3">
      <c r="A256" s="55" t="s">
        <v>86</v>
      </c>
      <c r="B256" s="8">
        <v>1320000</v>
      </c>
      <c r="C256" s="8">
        <v>431639.77</v>
      </c>
      <c r="D256" s="8"/>
      <c r="E256" s="8"/>
      <c r="F256" s="8"/>
      <c r="G256" s="56"/>
      <c r="H256" s="8"/>
      <c r="I256" s="8"/>
      <c r="J256" s="8"/>
      <c r="K256" s="8"/>
      <c r="L256" s="8"/>
      <c r="M256" s="64"/>
      <c r="N256" s="8"/>
    </row>
    <row r="257" spans="1:14" hidden="1" x14ac:dyDescent="0.3">
      <c r="A257" s="55" t="s">
        <v>87</v>
      </c>
      <c r="B257" s="8">
        <v>116000</v>
      </c>
      <c r="C257" s="8">
        <v>216640</v>
      </c>
      <c r="D257" s="8"/>
      <c r="E257" s="8"/>
      <c r="F257" s="8"/>
      <c r="G257" s="56"/>
      <c r="H257" s="8"/>
      <c r="I257" s="8"/>
      <c r="J257" s="8"/>
      <c r="K257" s="8"/>
      <c r="L257" s="8"/>
      <c r="M257" s="64"/>
      <c r="N257" s="8"/>
    </row>
    <row r="258" spans="1:14" hidden="1" x14ac:dyDescent="0.3">
      <c r="A258" s="55" t="s">
        <v>88</v>
      </c>
      <c r="B258" s="8">
        <v>41360000</v>
      </c>
      <c r="C258" s="8">
        <v>27843924.420000002</v>
      </c>
      <c r="D258" s="8"/>
      <c r="E258" s="65"/>
      <c r="F258" s="8"/>
      <c r="G258" s="56"/>
      <c r="H258" s="8"/>
      <c r="I258" s="8"/>
      <c r="J258" s="8"/>
      <c r="K258" s="8"/>
      <c r="L258" s="8"/>
      <c r="M258" s="64"/>
      <c r="N258" s="8"/>
    </row>
    <row r="259" spans="1:14" hidden="1" x14ac:dyDescent="0.3">
      <c r="A259" s="55" t="s">
        <v>89</v>
      </c>
      <c r="B259" s="8">
        <v>35500000</v>
      </c>
      <c r="C259" s="8">
        <v>27837398</v>
      </c>
      <c r="D259" s="8"/>
      <c r="E259" s="65"/>
      <c r="F259" s="8"/>
      <c r="G259" s="56"/>
      <c r="H259" s="8"/>
      <c r="I259" s="8"/>
      <c r="J259" s="8"/>
      <c r="K259" s="8"/>
      <c r="L259" s="8"/>
      <c r="M259" s="64"/>
      <c r="N259" s="8"/>
    </row>
    <row r="260" spans="1:14" hidden="1" x14ac:dyDescent="0.3">
      <c r="A260" s="55" t="s">
        <v>90</v>
      </c>
      <c r="B260" s="8">
        <v>0</v>
      </c>
      <c r="C260" s="8">
        <v>0</v>
      </c>
      <c r="D260" s="8"/>
      <c r="E260" s="65"/>
      <c r="F260" s="8"/>
      <c r="G260" s="56"/>
      <c r="H260" s="8"/>
      <c r="I260" s="8"/>
      <c r="J260" s="8"/>
      <c r="K260" s="8"/>
      <c r="L260" s="8"/>
      <c r="M260" s="64"/>
      <c r="N260" s="8"/>
    </row>
    <row r="261" spans="1:14" hidden="1" x14ac:dyDescent="0.3">
      <c r="A261" s="55" t="s">
        <v>91</v>
      </c>
      <c r="B261" s="8">
        <v>0</v>
      </c>
      <c r="C261" s="8">
        <v>0</v>
      </c>
      <c r="D261" s="8"/>
      <c r="E261" s="8"/>
      <c r="F261" s="8"/>
      <c r="G261" s="56"/>
      <c r="H261" s="8"/>
      <c r="I261" s="8"/>
      <c r="J261" s="8"/>
      <c r="K261" s="8"/>
      <c r="L261" s="8"/>
      <c r="M261" s="64"/>
      <c r="N261" s="8"/>
    </row>
    <row r="262" spans="1:14" hidden="1" x14ac:dyDescent="0.3">
      <c r="A262" s="55" t="s">
        <v>100</v>
      </c>
      <c r="B262" s="8"/>
      <c r="C262" s="8">
        <v>0</v>
      </c>
      <c r="D262" s="8"/>
      <c r="E262" s="8"/>
      <c r="F262" s="8"/>
      <c r="G262" s="56"/>
      <c r="H262" s="8"/>
      <c r="I262" s="8"/>
      <c r="J262" s="8"/>
      <c r="K262" s="8"/>
      <c r="L262" s="8"/>
      <c r="M262" s="64"/>
      <c r="N262" s="8"/>
    </row>
    <row r="263" spans="1:14" ht="19.5" hidden="1" thickBot="1" x14ac:dyDescent="0.35">
      <c r="A263" s="66" t="s">
        <v>92</v>
      </c>
      <c r="B263" s="62">
        <f>SUM(B254:B262)</f>
        <v>80000000</v>
      </c>
      <c r="C263" s="62">
        <f t="shared" ref="C263:N263" si="24">SUM(C254:C262)</f>
        <v>58538615.900000006</v>
      </c>
      <c r="D263" s="62">
        <f t="shared" si="24"/>
        <v>0</v>
      </c>
      <c r="E263" s="62">
        <f t="shared" si="24"/>
        <v>0</v>
      </c>
      <c r="F263" s="62">
        <f t="shared" si="24"/>
        <v>0</v>
      </c>
      <c r="G263" s="62">
        <f t="shared" si="24"/>
        <v>0</v>
      </c>
      <c r="H263" s="62">
        <f t="shared" si="24"/>
        <v>0</v>
      </c>
      <c r="I263" s="62">
        <f t="shared" si="24"/>
        <v>0</v>
      </c>
      <c r="J263" s="62">
        <f t="shared" si="24"/>
        <v>0</v>
      </c>
      <c r="K263" s="62">
        <f t="shared" si="24"/>
        <v>0</v>
      </c>
      <c r="L263" s="62">
        <f t="shared" si="24"/>
        <v>0</v>
      </c>
      <c r="M263" s="62">
        <f t="shared" si="24"/>
        <v>0</v>
      </c>
      <c r="N263" s="62">
        <f t="shared" si="24"/>
        <v>0</v>
      </c>
    </row>
    <row r="264" spans="1:14" ht="20.25" hidden="1" thickTop="1" thickBot="1" x14ac:dyDescent="0.35">
      <c r="A264" s="70" t="s">
        <v>93</v>
      </c>
      <c r="B264" s="71"/>
      <c r="C264" s="72">
        <f>+C263-C252</f>
        <v>25000295.280000009</v>
      </c>
      <c r="D264" s="73"/>
      <c r="E264" s="74"/>
      <c r="F264" s="74"/>
      <c r="G264" s="75"/>
      <c r="H264" s="74"/>
      <c r="I264" s="74"/>
      <c r="J264" s="74"/>
      <c r="K264" s="74"/>
      <c r="L264" s="74"/>
      <c r="M264" s="76"/>
      <c r="N264" s="74"/>
    </row>
    <row r="265" spans="1:14" ht="19.5" hidden="1" thickTop="1" x14ac:dyDescent="0.3">
      <c r="A265" s="70"/>
      <c r="B265" s="77"/>
      <c r="C265" s="74"/>
      <c r="D265" s="74"/>
      <c r="E265" s="74"/>
      <c r="F265" s="74"/>
      <c r="G265" s="75"/>
      <c r="H265" s="74"/>
      <c r="I265" s="74"/>
      <c r="J265" s="74"/>
      <c r="K265" s="74"/>
      <c r="L265" s="74"/>
      <c r="M265" s="76"/>
      <c r="N265" s="74"/>
    </row>
    <row r="266" spans="1:14" hidden="1" x14ac:dyDescent="0.3">
      <c r="A266" s="70"/>
      <c r="B266" s="77"/>
      <c r="C266" s="74"/>
      <c r="D266" s="74"/>
      <c r="E266" s="74"/>
      <c r="F266" s="74"/>
      <c r="G266" s="75"/>
      <c r="H266" s="74"/>
      <c r="I266" s="74"/>
      <c r="J266" s="74"/>
      <c r="K266" s="74"/>
      <c r="L266" s="74"/>
      <c r="M266" s="76"/>
      <c r="N266" s="74"/>
    </row>
    <row r="267" spans="1:14" hidden="1" x14ac:dyDescent="0.3">
      <c r="A267" s="83" t="s">
        <v>48</v>
      </c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</row>
    <row r="268" spans="1:14" hidden="1" x14ac:dyDescent="0.3">
      <c r="A268" s="83" t="s">
        <v>1</v>
      </c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</row>
    <row r="269" spans="1:14" hidden="1" x14ac:dyDescent="0.3">
      <c r="A269" s="84" t="s">
        <v>102</v>
      </c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</row>
    <row r="270" spans="1:14" hidden="1" x14ac:dyDescent="0.3">
      <c r="A270" s="33" t="s">
        <v>50</v>
      </c>
      <c r="B270" s="33" t="s">
        <v>50</v>
      </c>
      <c r="C270" s="33" t="s">
        <v>50</v>
      </c>
      <c r="D270" s="33" t="s">
        <v>51</v>
      </c>
      <c r="E270" s="34" t="s">
        <v>52</v>
      </c>
      <c r="F270" s="33"/>
      <c r="G270" s="35"/>
      <c r="H270" s="34" t="s">
        <v>53</v>
      </c>
      <c r="I270" s="34" t="s">
        <v>54</v>
      </c>
      <c r="J270" s="34" t="s">
        <v>55</v>
      </c>
      <c r="K270" s="34" t="s">
        <v>56</v>
      </c>
      <c r="L270" s="34" t="s">
        <v>57</v>
      </c>
      <c r="M270" s="34"/>
      <c r="N270" s="36"/>
    </row>
    <row r="271" spans="1:14" hidden="1" x14ac:dyDescent="0.3">
      <c r="A271" s="40"/>
      <c r="B271" s="41" t="s">
        <v>4</v>
      </c>
      <c r="C271" s="41" t="s">
        <v>5</v>
      </c>
      <c r="D271" s="41" t="s">
        <v>58</v>
      </c>
      <c r="E271" s="42" t="s">
        <v>59</v>
      </c>
      <c r="F271" s="41" t="s">
        <v>8</v>
      </c>
      <c r="G271" s="43" t="s">
        <v>9</v>
      </c>
      <c r="H271" s="42" t="s">
        <v>60</v>
      </c>
      <c r="I271" s="42" t="s">
        <v>61</v>
      </c>
      <c r="J271" s="42" t="s">
        <v>62</v>
      </c>
      <c r="K271" s="42" t="s">
        <v>63</v>
      </c>
      <c r="L271" s="42" t="s">
        <v>64</v>
      </c>
      <c r="M271" s="42" t="s">
        <v>15</v>
      </c>
      <c r="N271" s="41" t="s">
        <v>16</v>
      </c>
    </row>
    <row r="272" spans="1:14" hidden="1" x14ac:dyDescent="0.3">
      <c r="A272" s="44"/>
      <c r="B272" s="44"/>
      <c r="C272" s="44"/>
      <c r="D272" s="44"/>
      <c r="E272" s="45" t="s">
        <v>65</v>
      </c>
      <c r="F272" s="44"/>
      <c r="G272" s="46"/>
      <c r="H272" s="45"/>
      <c r="I272" s="45"/>
      <c r="J272" s="45" t="s">
        <v>66</v>
      </c>
      <c r="K272" s="45" t="s">
        <v>67</v>
      </c>
      <c r="L272" s="45" t="s">
        <v>68</v>
      </c>
      <c r="M272" s="45"/>
      <c r="N272" s="47"/>
    </row>
    <row r="273" spans="1:14" hidden="1" x14ac:dyDescent="0.3">
      <c r="A273" s="48" t="s">
        <v>17</v>
      </c>
      <c r="B273" s="49"/>
      <c r="C273" s="50"/>
      <c r="D273" s="50" t="s">
        <v>50</v>
      </c>
      <c r="E273" s="51"/>
      <c r="F273" s="50"/>
      <c r="G273" s="52"/>
      <c r="H273" s="53"/>
      <c r="I273" s="53"/>
      <c r="J273" s="53"/>
      <c r="K273" s="53"/>
      <c r="L273" s="53"/>
      <c r="M273" s="54"/>
      <c r="N273" s="55"/>
    </row>
    <row r="274" spans="1:14" hidden="1" x14ac:dyDescent="0.3">
      <c r="A274" s="55" t="s">
        <v>69</v>
      </c>
      <c r="B274" s="8">
        <v>21294040</v>
      </c>
      <c r="C274" s="8">
        <f t="shared" ref="C274:C286" si="25">+D274+E274+F274+G274+H274+I274+J274+K274+L274+M274+N274</f>
        <v>13420174</v>
      </c>
      <c r="D274" s="8">
        <f>2048000+4005433</f>
        <v>6053433</v>
      </c>
      <c r="E274" s="9">
        <v>124920</v>
      </c>
      <c r="F274" s="8">
        <v>4983645</v>
      </c>
      <c r="G274" s="8">
        <v>712200</v>
      </c>
      <c r="H274" s="9">
        <v>249880</v>
      </c>
      <c r="I274" s="9"/>
      <c r="J274" s="9"/>
      <c r="K274" s="9">
        <v>167060</v>
      </c>
      <c r="L274" s="9">
        <v>1129036</v>
      </c>
      <c r="M274" s="9"/>
      <c r="N274" s="8"/>
    </row>
    <row r="275" spans="1:14" hidden="1" x14ac:dyDescent="0.3">
      <c r="A275" s="55" t="s">
        <v>70</v>
      </c>
      <c r="B275" s="8">
        <v>506340</v>
      </c>
      <c r="C275" s="8">
        <f t="shared" si="25"/>
        <v>407625</v>
      </c>
      <c r="D275" s="8">
        <v>271875</v>
      </c>
      <c r="E275" s="9"/>
      <c r="F275" s="8"/>
      <c r="G275" s="8"/>
      <c r="H275" s="9"/>
      <c r="I275" s="9"/>
      <c r="J275" s="9"/>
      <c r="K275" s="9"/>
      <c r="L275" s="9">
        <v>135750</v>
      </c>
      <c r="M275" s="9"/>
      <c r="N275" s="8"/>
    </row>
    <row r="276" spans="1:14" hidden="1" x14ac:dyDescent="0.3">
      <c r="A276" s="55" t="s">
        <v>71</v>
      </c>
      <c r="B276" s="8">
        <v>11097360</v>
      </c>
      <c r="C276" s="8">
        <f t="shared" si="25"/>
        <v>6313096</v>
      </c>
      <c r="D276" s="8">
        <v>1507994</v>
      </c>
      <c r="E276" s="9">
        <v>889040</v>
      </c>
      <c r="F276" s="8">
        <v>1372380</v>
      </c>
      <c r="G276" s="8">
        <v>256762</v>
      </c>
      <c r="H276" s="9"/>
      <c r="I276" s="9">
        <v>911920</v>
      </c>
      <c r="J276" s="9"/>
      <c r="K276" s="9">
        <v>91120</v>
      </c>
      <c r="L276" s="9">
        <v>1283880</v>
      </c>
      <c r="M276" s="9"/>
      <c r="N276" s="8"/>
    </row>
    <row r="277" spans="1:14" hidden="1" x14ac:dyDescent="0.3">
      <c r="A277" s="55" t="s">
        <v>72</v>
      </c>
      <c r="B277" s="56">
        <v>1431210</v>
      </c>
      <c r="C277" s="8">
        <f t="shared" si="25"/>
        <v>538011</v>
      </c>
      <c r="D277" s="8">
        <v>337606</v>
      </c>
      <c r="E277" s="9">
        <v>16600</v>
      </c>
      <c r="F277" s="8">
        <v>17500</v>
      </c>
      <c r="G277" s="8">
        <v>75185</v>
      </c>
      <c r="H277" s="9">
        <v>8000</v>
      </c>
      <c r="I277" s="9"/>
      <c r="J277" s="9"/>
      <c r="K277" s="9"/>
      <c r="L277" s="9">
        <v>83120</v>
      </c>
      <c r="M277" s="9"/>
      <c r="N277" s="8"/>
    </row>
    <row r="278" spans="1:14" hidden="1" x14ac:dyDescent="0.3">
      <c r="A278" s="52" t="s">
        <v>73</v>
      </c>
      <c r="B278" s="56">
        <v>17394160</v>
      </c>
      <c r="C278" s="8">
        <f t="shared" si="25"/>
        <v>8934074.6500000004</v>
      </c>
      <c r="D278" s="8">
        <v>951679.85</v>
      </c>
      <c r="E278" s="9">
        <v>268718</v>
      </c>
      <c r="F278" s="8">
        <v>4757052</v>
      </c>
      <c r="G278" s="8">
        <v>195016</v>
      </c>
      <c r="H278" s="9"/>
      <c r="I278" s="9">
        <v>494000</v>
      </c>
      <c r="J278" s="9">
        <v>187093</v>
      </c>
      <c r="K278" s="9">
        <v>1567845</v>
      </c>
      <c r="L278" s="9">
        <v>501420.79999999999</v>
      </c>
      <c r="M278" s="9">
        <v>11250</v>
      </c>
      <c r="N278" s="8"/>
    </row>
    <row r="279" spans="1:14" hidden="1" x14ac:dyDescent="0.3">
      <c r="A279" s="52" t="s">
        <v>74</v>
      </c>
      <c r="B279" s="8">
        <v>6194720</v>
      </c>
      <c r="C279" s="8">
        <f t="shared" si="25"/>
        <v>2777747.4299999997</v>
      </c>
      <c r="D279" s="8">
        <v>676043.28</v>
      </c>
      <c r="E279" s="9">
        <v>52280</v>
      </c>
      <c r="F279" s="8">
        <v>1012709.45</v>
      </c>
      <c r="G279" s="8"/>
      <c r="H279" s="9"/>
      <c r="I279" s="9">
        <v>223373.2</v>
      </c>
      <c r="J279" s="9"/>
      <c r="K279" s="9">
        <v>4960</v>
      </c>
      <c r="L279" s="9">
        <v>752381.5</v>
      </c>
      <c r="M279" s="9">
        <v>56000</v>
      </c>
      <c r="N279" s="8"/>
    </row>
    <row r="280" spans="1:14" hidden="1" x14ac:dyDescent="0.3">
      <c r="A280" s="55" t="s">
        <v>75</v>
      </c>
      <c r="B280" s="8">
        <v>1165000</v>
      </c>
      <c r="C280" s="8">
        <f t="shared" si="25"/>
        <v>696971.22</v>
      </c>
      <c r="D280" s="8">
        <v>578107.02</v>
      </c>
      <c r="E280" s="9"/>
      <c r="F280" s="9">
        <v>110644.73</v>
      </c>
      <c r="G280" s="8"/>
      <c r="H280" s="9"/>
      <c r="I280" s="9"/>
      <c r="J280" s="9"/>
      <c r="K280" s="9">
        <v>8219.4699999999993</v>
      </c>
      <c r="L280" s="9"/>
      <c r="M280" s="9"/>
      <c r="N280" s="8"/>
    </row>
    <row r="281" spans="1:14" hidden="1" x14ac:dyDescent="0.3">
      <c r="A281" s="55" t="s">
        <v>76</v>
      </c>
      <c r="B281" s="8">
        <v>3509100</v>
      </c>
      <c r="C281" s="8">
        <f t="shared" si="25"/>
        <v>1730389.07</v>
      </c>
      <c r="D281" s="10">
        <v>75000</v>
      </c>
      <c r="E281" s="9">
        <v>240000</v>
      </c>
      <c r="F281" s="8">
        <v>858000</v>
      </c>
      <c r="G281" s="8"/>
      <c r="H281" s="9"/>
      <c r="I281" s="9">
        <v>282389.07</v>
      </c>
      <c r="J281" s="9">
        <v>135000</v>
      </c>
      <c r="K281" s="9">
        <v>140000</v>
      </c>
      <c r="L281" s="9"/>
      <c r="M281" s="9"/>
      <c r="N281" s="8"/>
    </row>
    <row r="282" spans="1:14" hidden="1" x14ac:dyDescent="0.3">
      <c r="A282" s="55" t="s">
        <v>77</v>
      </c>
      <c r="B282" s="8">
        <v>10000</v>
      </c>
      <c r="C282" s="8">
        <f t="shared" si="25"/>
        <v>0</v>
      </c>
      <c r="D282" s="8"/>
      <c r="E282" s="9"/>
      <c r="F282" s="8"/>
      <c r="G282" s="8"/>
      <c r="H282" s="9"/>
      <c r="I282" s="9"/>
      <c r="J282" s="9"/>
      <c r="K282" s="9"/>
      <c r="L282" s="9"/>
      <c r="M282" s="9"/>
      <c r="N282" s="8"/>
    </row>
    <row r="283" spans="1:14" hidden="1" x14ac:dyDescent="0.3">
      <c r="A283" s="55" t="s">
        <v>78</v>
      </c>
      <c r="B283" s="8">
        <v>7526270</v>
      </c>
      <c r="C283" s="8">
        <f t="shared" si="25"/>
        <v>3404894</v>
      </c>
      <c r="D283" s="8"/>
      <c r="E283" s="9"/>
      <c r="F283" s="8"/>
      <c r="G283" s="8"/>
      <c r="H283" s="9"/>
      <c r="I283" s="9"/>
      <c r="J283" s="9"/>
      <c r="K283" s="9"/>
      <c r="L283" s="9"/>
      <c r="M283" s="9"/>
      <c r="N283" s="8">
        <v>3404894</v>
      </c>
    </row>
    <row r="284" spans="1:14" hidden="1" x14ac:dyDescent="0.3">
      <c r="A284" s="55" t="s">
        <v>79</v>
      </c>
      <c r="B284" s="8">
        <v>1674000</v>
      </c>
      <c r="C284" s="8">
        <f t="shared" si="25"/>
        <v>446753.65</v>
      </c>
      <c r="D284" s="8">
        <v>37142.42</v>
      </c>
      <c r="E284" s="9">
        <v>173338</v>
      </c>
      <c r="F284" s="8"/>
      <c r="G284" s="8"/>
      <c r="H284" s="9"/>
      <c r="I284" s="9"/>
      <c r="J284" s="9"/>
      <c r="K284" s="9"/>
      <c r="L284" s="9">
        <v>236273.23</v>
      </c>
      <c r="M284" s="9"/>
      <c r="N284" s="8"/>
    </row>
    <row r="285" spans="1:14" hidden="1" x14ac:dyDescent="0.3">
      <c r="A285" s="60" t="s">
        <v>80</v>
      </c>
      <c r="B285" s="8">
        <v>8197800</v>
      </c>
      <c r="C285" s="8">
        <f t="shared" si="25"/>
        <v>708800</v>
      </c>
      <c r="D285" s="8"/>
      <c r="E285" s="9"/>
      <c r="F285" s="8"/>
      <c r="G285" s="8"/>
      <c r="H285" s="9"/>
      <c r="I285" s="9"/>
      <c r="J285" s="9"/>
      <c r="K285" s="9"/>
      <c r="L285" s="9">
        <v>708800</v>
      </c>
      <c r="M285" s="9"/>
      <c r="N285" s="8"/>
    </row>
    <row r="286" spans="1:14" hidden="1" x14ac:dyDescent="0.3">
      <c r="A286" s="60" t="s">
        <v>99</v>
      </c>
      <c r="B286" s="8"/>
      <c r="C286" s="8">
        <f t="shared" si="25"/>
        <v>0</v>
      </c>
      <c r="D286" s="8"/>
      <c r="E286" s="9"/>
      <c r="F286" s="8"/>
      <c r="G286" s="8"/>
      <c r="H286" s="9"/>
      <c r="I286" s="9"/>
      <c r="J286" s="9"/>
      <c r="K286" s="9"/>
      <c r="L286" s="9"/>
      <c r="M286" s="9"/>
      <c r="N286" s="8"/>
    </row>
    <row r="287" spans="1:14" hidden="1" x14ac:dyDescent="0.3">
      <c r="A287" s="61" t="s">
        <v>81</v>
      </c>
      <c r="B287" s="14">
        <f>SUM(B274:B286)</f>
        <v>80000000</v>
      </c>
      <c r="C287" s="14">
        <f t="shared" ref="C287:N287" si="26">SUM(C274:C286)</f>
        <v>39378536.019999996</v>
      </c>
      <c r="D287" s="14">
        <f t="shared" si="26"/>
        <v>10488880.569999998</v>
      </c>
      <c r="E287" s="14">
        <f t="shared" si="26"/>
        <v>1764896</v>
      </c>
      <c r="F287" s="14">
        <f t="shared" si="26"/>
        <v>13111931.18</v>
      </c>
      <c r="G287" s="14">
        <f t="shared" si="26"/>
        <v>1239163</v>
      </c>
      <c r="H287" s="14">
        <f t="shared" si="26"/>
        <v>257880</v>
      </c>
      <c r="I287" s="14">
        <f t="shared" si="26"/>
        <v>1911682.27</v>
      </c>
      <c r="J287" s="14">
        <f t="shared" si="26"/>
        <v>322093</v>
      </c>
      <c r="K287" s="14">
        <f t="shared" si="26"/>
        <v>1979204.47</v>
      </c>
      <c r="L287" s="14">
        <f t="shared" si="26"/>
        <v>4830661.5299999993</v>
      </c>
      <c r="M287" s="14">
        <f t="shared" si="26"/>
        <v>67250</v>
      </c>
      <c r="N287" s="14">
        <f t="shared" si="26"/>
        <v>3404894</v>
      </c>
    </row>
    <row r="288" spans="1:14" hidden="1" x14ac:dyDescent="0.3">
      <c r="A288" s="55" t="s">
        <v>82</v>
      </c>
      <c r="B288" s="8"/>
      <c r="C288" s="8">
        <f>+D288+E288+F288+G288+H288+I288+J288+K288+L288+M288+N288</f>
        <v>0</v>
      </c>
      <c r="D288" s="8"/>
      <c r="E288" s="9"/>
      <c r="F288" s="8"/>
      <c r="G288" s="56"/>
      <c r="H288" s="9"/>
      <c r="I288" s="9"/>
      <c r="J288" s="9"/>
      <c r="K288" s="9"/>
      <c r="L288" s="9"/>
      <c r="M288" s="9"/>
      <c r="N288" s="8"/>
    </row>
    <row r="289" spans="1:14" hidden="1" x14ac:dyDescent="0.3">
      <c r="A289" s="55" t="s">
        <v>29</v>
      </c>
      <c r="B289" s="8"/>
      <c r="C289" s="8">
        <f>+D289+E289+F289+G289+H289+I289+J289+K289+L289+M289+N289</f>
        <v>0</v>
      </c>
      <c r="D289" s="8"/>
      <c r="E289" s="9"/>
      <c r="F289" s="8"/>
      <c r="G289" s="56"/>
      <c r="H289" s="9"/>
      <c r="I289" s="9"/>
      <c r="J289" s="9"/>
      <c r="K289" s="9"/>
      <c r="L289" s="9"/>
      <c r="M289" s="9"/>
      <c r="N289" s="8"/>
    </row>
    <row r="290" spans="1:14" ht="19.5" hidden="1" thickBot="1" x14ac:dyDescent="0.35">
      <c r="A290" s="48" t="s">
        <v>83</v>
      </c>
      <c r="B290" s="62">
        <f>+B287</f>
        <v>80000000</v>
      </c>
      <c r="C290" s="62">
        <f t="shared" ref="C290:N290" si="27">+C287+C288+C289</f>
        <v>39378536.019999996</v>
      </c>
      <c r="D290" s="62">
        <f t="shared" si="27"/>
        <v>10488880.569999998</v>
      </c>
      <c r="E290" s="62">
        <f t="shared" si="27"/>
        <v>1764896</v>
      </c>
      <c r="F290" s="62">
        <f t="shared" si="27"/>
        <v>13111931.18</v>
      </c>
      <c r="G290" s="62">
        <f t="shared" si="27"/>
        <v>1239163</v>
      </c>
      <c r="H290" s="62">
        <f t="shared" si="27"/>
        <v>257880</v>
      </c>
      <c r="I290" s="62">
        <f t="shared" si="27"/>
        <v>1911682.27</v>
      </c>
      <c r="J290" s="62">
        <f t="shared" si="27"/>
        <v>322093</v>
      </c>
      <c r="K290" s="62">
        <f t="shared" si="27"/>
        <v>1979204.47</v>
      </c>
      <c r="L290" s="62">
        <f t="shared" si="27"/>
        <v>4830661.5299999993</v>
      </c>
      <c r="M290" s="62">
        <f t="shared" si="27"/>
        <v>67250</v>
      </c>
      <c r="N290" s="62">
        <f t="shared" si="27"/>
        <v>3404894</v>
      </c>
    </row>
    <row r="291" spans="1:14" ht="19.5" hidden="1" thickTop="1" x14ac:dyDescent="0.3">
      <c r="A291" s="48" t="s">
        <v>38</v>
      </c>
      <c r="B291" s="63"/>
      <c r="C291" s="8"/>
      <c r="D291" s="8"/>
      <c r="E291" s="8"/>
      <c r="F291" s="8"/>
      <c r="G291" s="56"/>
      <c r="H291" s="8"/>
      <c r="I291" s="8"/>
      <c r="J291" s="8"/>
      <c r="K291" s="8"/>
      <c r="L291" s="8"/>
      <c r="M291" s="64"/>
      <c r="N291" s="8"/>
    </row>
    <row r="292" spans="1:14" hidden="1" x14ac:dyDescent="0.3">
      <c r="A292" s="55" t="s">
        <v>84</v>
      </c>
      <c r="B292" s="8">
        <v>1110000</v>
      </c>
      <c r="C292" s="8">
        <v>1254679.42</v>
      </c>
      <c r="D292" s="8"/>
      <c r="E292" s="8"/>
      <c r="F292" s="8"/>
      <c r="G292" s="56"/>
      <c r="H292" s="8"/>
      <c r="I292" s="8"/>
      <c r="J292" s="8"/>
      <c r="K292" s="8"/>
      <c r="L292" s="8"/>
      <c r="M292" s="64"/>
      <c r="N292" s="8"/>
    </row>
    <row r="293" spans="1:14" hidden="1" x14ac:dyDescent="0.3">
      <c r="A293" s="55" t="s">
        <v>85</v>
      </c>
      <c r="B293" s="8">
        <v>594000</v>
      </c>
      <c r="C293" s="8">
        <v>1202177.69</v>
      </c>
      <c r="D293" s="8"/>
      <c r="E293" s="8"/>
      <c r="F293" s="8"/>
      <c r="G293" s="56"/>
      <c r="H293" s="8"/>
      <c r="I293" s="8"/>
      <c r="J293" s="8"/>
      <c r="K293" s="8"/>
      <c r="L293" s="8"/>
      <c r="M293" s="64"/>
      <c r="N293" s="8"/>
    </row>
    <row r="294" spans="1:14" hidden="1" x14ac:dyDescent="0.3">
      <c r="A294" s="55" t="s">
        <v>86</v>
      </c>
      <c r="B294" s="8">
        <v>1320000</v>
      </c>
      <c r="C294" s="8">
        <v>437862.77</v>
      </c>
      <c r="D294" s="8"/>
      <c r="E294" s="8"/>
      <c r="F294" s="8"/>
      <c r="G294" s="56"/>
      <c r="H294" s="8"/>
      <c r="I294" s="8"/>
      <c r="J294" s="8"/>
      <c r="K294" s="8"/>
      <c r="L294" s="8"/>
      <c r="M294" s="64"/>
      <c r="N294" s="8"/>
    </row>
    <row r="295" spans="1:14" hidden="1" x14ac:dyDescent="0.3">
      <c r="A295" s="55" t="s">
        <v>87</v>
      </c>
      <c r="B295" s="8">
        <v>116000</v>
      </c>
      <c r="C295" s="8">
        <v>230614</v>
      </c>
      <c r="D295" s="8"/>
      <c r="E295" s="8"/>
      <c r="F295" s="8"/>
      <c r="G295" s="56"/>
      <c r="H295" s="8"/>
      <c r="I295" s="8"/>
      <c r="J295" s="8"/>
      <c r="K295" s="8"/>
      <c r="L295" s="8"/>
      <c r="M295" s="64"/>
      <c r="N295" s="8"/>
    </row>
    <row r="296" spans="1:14" hidden="1" x14ac:dyDescent="0.3">
      <c r="A296" s="55" t="s">
        <v>88</v>
      </c>
      <c r="B296" s="8">
        <v>41360000</v>
      </c>
      <c r="C296" s="8">
        <v>30846735.93</v>
      </c>
      <c r="D296" s="8"/>
      <c r="E296" s="65"/>
      <c r="F296" s="8"/>
      <c r="G296" s="56"/>
      <c r="H296" s="8"/>
      <c r="I296" s="8"/>
      <c r="J296" s="8"/>
      <c r="K296" s="8"/>
      <c r="L296" s="8"/>
      <c r="M296" s="64"/>
      <c r="N296" s="8"/>
    </row>
    <row r="297" spans="1:14" hidden="1" x14ac:dyDescent="0.3">
      <c r="A297" s="55" t="s">
        <v>89</v>
      </c>
      <c r="B297" s="8">
        <v>35500000</v>
      </c>
      <c r="C297" s="8">
        <v>27837398</v>
      </c>
      <c r="D297" s="8"/>
      <c r="E297" s="65"/>
      <c r="F297" s="8"/>
      <c r="G297" s="56"/>
      <c r="H297" s="8"/>
      <c r="I297" s="8"/>
      <c r="J297" s="8"/>
      <c r="K297" s="8"/>
      <c r="L297" s="8"/>
      <c r="M297" s="64"/>
      <c r="N297" s="8"/>
    </row>
    <row r="298" spans="1:14" hidden="1" x14ac:dyDescent="0.3">
      <c r="A298" s="55" t="s">
        <v>90</v>
      </c>
      <c r="B298" s="8">
        <v>0</v>
      </c>
      <c r="C298" s="8"/>
      <c r="D298" s="8"/>
      <c r="E298" s="65"/>
      <c r="F298" s="8"/>
      <c r="G298" s="56"/>
      <c r="H298" s="8"/>
      <c r="I298" s="8"/>
      <c r="J298" s="8"/>
      <c r="K298" s="8"/>
      <c r="L298" s="8"/>
      <c r="M298" s="64"/>
      <c r="N298" s="8"/>
    </row>
    <row r="299" spans="1:14" hidden="1" x14ac:dyDescent="0.3">
      <c r="A299" s="55" t="s">
        <v>91</v>
      </c>
      <c r="B299" s="8">
        <v>0</v>
      </c>
      <c r="C299" s="8"/>
      <c r="D299" s="8"/>
      <c r="E299" s="8"/>
      <c r="F299" s="8"/>
      <c r="G299" s="56"/>
      <c r="H299" s="8"/>
      <c r="I299" s="8"/>
      <c r="J299" s="8"/>
      <c r="K299" s="8"/>
      <c r="L299" s="8"/>
      <c r="M299" s="64"/>
      <c r="N299" s="8"/>
    </row>
    <row r="300" spans="1:14" hidden="1" x14ac:dyDescent="0.3">
      <c r="A300" s="55" t="s">
        <v>100</v>
      </c>
      <c r="B300" s="8"/>
      <c r="C300" s="8"/>
      <c r="D300" s="8"/>
      <c r="E300" s="8"/>
      <c r="F300" s="8"/>
      <c r="G300" s="56"/>
      <c r="H300" s="8"/>
      <c r="I300" s="8"/>
      <c r="J300" s="8"/>
      <c r="K300" s="8"/>
      <c r="L300" s="8"/>
      <c r="M300" s="64"/>
      <c r="N300" s="8"/>
    </row>
    <row r="301" spans="1:14" ht="19.5" hidden="1" thickBot="1" x14ac:dyDescent="0.35">
      <c r="A301" s="66" t="s">
        <v>92</v>
      </c>
      <c r="B301" s="62">
        <f>SUM(B292:B300)</f>
        <v>80000000</v>
      </c>
      <c r="C301" s="62">
        <f t="shared" ref="C301:N301" si="28">SUM(C292:C300)</f>
        <v>61809467.810000002</v>
      </c>
      <c r="D301" s="62">
        <f t="shared" si="28"/>
        <v>0</v>
      </c>
      <c r="E301" s="62">
        <f t="shared" si="28"/>
        <v>0</v>
      </c>
      <c r="F301" s="62">
        <f t="shared" si="28"/>
        <v>0</v>
      </c>
      <c r="G301" s="62">
        <f t="shared" si="28"/>
        <v>0</v>
      </c>
      <c r="H301" s="62">
        <f t="shared" si="28"/>
        <v>0</v>
      </c>
      <c r="I301" s="62">
        <f t="shared" si="28"/>
        <v>0</v>
      </c>
      <c r="J301" s="62">
        <f t="shared" si="28"/>
        <v>0</v>
      </c>
      <c r="K301" s="62">
        <f t="shared" si="28"/>
        <v>0</v>
      </c>
      <c r="L301" s="62">
        <f t="shared" si="28"/>
        <v>0</v>
      </c>
      <c r="M301" s="62">
        <f t="shared" si="28"/>
        <v>0</v>
      </c>
      <c r="N301" s="62">
        <f t="shared" si="28"/>
        <v>0</v>
      </c>
    </row>
    <row r="302" spans="1:14" ht="20.25" hidden="1" thickTop="1" thickBot="1" x14ac:dyDescent="0.35">
      <c r="A302" s="70" t="s">
        <v>93</v>
      </c>
      <c r="B302" s="71"/>
      <c r="C302" s="72">
        <f>+C301-C290</f>
        <v>22430931.790000007</v>
      </c>
      <c r="D302" s="73"/>
      <c r="E302" s="74"/>
      <c r="F302" s="74"/>
      <c r="G302" s="75"/>
      <c r="H302" s="74"/>
      <c r="I302" s="74"/>
      <c r="J302" s="74"/>
      <c r="K302" s="74"/>
      <c r="L302" s="74"/>
      <c r="M302" s="76"/>
      <c r="N302" s="74"/>
    </row>
    <row r="303" spans="1:14" ht="19.5" hidden="1" thickTop="1" x14ac:dyDescent="0.3">
      <c r="A303" s="70"/>
      <c r="B303" s="77"/>
      <c r="C303" s="74"/>
      <c r="D303" s="74"/>
      <c r="E303" s="74"/>
      <c r="F303" s="74"/>
      <c r="G303" s="75"/>
      <c r="H303" s="74"/>
      <c r="I303" s="74"/>
      <c r="J303" s="74"/>
      <c r="K303" s="74"/>
      <c r="L303" s="74"/>
      <c r="M303" s="76"/>
      <c r="N303" s="74"/>
    </row>
    <row r="304" spans="1:14" hidden="1" x14ac:dyDescent="0.3">
      <c r="A304" s="70"/>
      <c r="B304" s="77"/>
      <c r="C304" s="74"/>
      <c r="D304" s="74"/>
      <c r="E304" s="74"/>
      <c r="F304" s="74"/>
      <c r="G304" s="75"/>
      <c r="H304" s="74"/>
      <c r="I304" s="74"/>
      <c r="J304" s="74"/>
      <c r="K304" s="74"/>
      <c r="L304" s="74"/>
      <c r="M304" s="76"/>
      <c r="N304" s="74"/>
    </row>
    <row r="305" spans="1:14" hidden="1" x14ac:dyDescent="0.3">
      <c r="A305" s="83" t="s">
        <v>48</v>
      </c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</row>
    <row r="306" spans="1:14" hidden="1" x14ac:dyDescent="0.3">
      <c r="A306" s="83" t="s">
        <v>1</v>
      </c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</row>
    <row r="307" spans="1:14" hidden="1" x14ac:dyDescent="0.3">
      <c r="A307" s="84" t="s">
        <v>103</v>
      </c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</row>
    <row r="308" spans="1:14" hidden="1" x14ac:dyDescent="0.3">
      <c r="A308" s="33" t="s">
        <v>50</v>
      </c>
      <c r="B308" s="33" t="s">
        <v>50</v>
      </c>
      <c r="C308" s="33" t="s">
        <v>50</v>
      </c>
      <c r="D308" s="33" t="s">
        <v>51</v>
      </c>
      <c r="E308" s="34" t="s">
        <v>52</v>
      </c>
      <c r="F308" s="33"/>
      <c r="G308" s="35"/>
      <c r="H308" s="34" t="s">
        <v>53</v>
      </c>
      <c r="I308" s="34" t="s">
        <v>54</v>
      </c>
      <c r="J308" s="34" t="s">
        <v>55</v>
      </c>
      <c r="K308" s="34" t="s">
        <v>56</v>
      </c>
      <c r="L308" s="34" t="s">
        <v>57</v>
      </c>
      <c r="M308" s="34"/>
      <c r="N308" s="36"/>
    </row>
    <row r="309" spans="1:14" hidden="1" x14ac:dyDescent="0.3">
      <c r="A309" s="40"/>
      <c r="B309" s="41" t="s">
        <v>4</v>
      </c>
      <c r="C309" s="41" t="s">
        <v>5</v>
      </c>
      <c r="D309" s="41" t="s">
        <v>58</v>
      </c>
      <c r="E309" s="42" t="s">
        <v>59</v>
      </c>
      <c r="F309" s="41" t="s">
        <v>8</v>
      </c>
      <c r="G309" s="43" t="s">
        <v>9</v>
      </c>
      <c r="H309" s="42" t="s">
        <v>60</v>
      </c>
      <c r="I309" s="42" t="s">
        <v>61</v>
      </c>
      <c r="J309" s="42" t="s">
        <v>62</v>
      </c>
      <c r="K309" s="42" t="s">
        <v>63</v>
      </c>
      <c r="L309" s="42" t="s">
        <v>64</v>
      </c>
      <c r="M309" s="42" t="s">
        <v>15</v>
      </c>
      <c r="N309" s="41" t="s">
        <v>16</v>
      </c>
    </row>
    <row r="310" spans="1:14" hidden="1" x14ac:dyDescent="0.3">
      <c r="A310" s="44"/>
      <c r="B310" s="44"/>
      <c r="C310" s="44"/>
      <c r="D310" s="44"/>
      <c r="E310" s="45" t="s">
        <v>65</v>
      </c>
      <c r="F310" s="44"/>
      <c r="G310" s="46"/>
      <c r="H310" s="45"/>
      <c r="I310" s="45"/>
      <c r="J310" s="45" t="s">
        <v>66</v>
      </c>
      <c r="K310" s="45" t="s">
        <v>67</v>
      </c>
      <c r="L310" s="45" t="s">
        <v>68</v>
      </c>
      <c r="M310" s="45"/>
      <c r="N310" s="47"/>
    </row>
    <row r="311" spans="1:14" hidden="1" x14ac:dyDescent="0.3">
      <c r="A311" s="48" t="s">
        <v>17</v>
      </c>
      <c r="B311" s="49"/>
      <c r="C311" s="50"/>
      <c r="D311" s="50" t="s">
        <v>50</v>
      </c>
      <c r="E311" s="51"/>
      <c r="F311" s="50"/>
      <c r="G311" s="52"/>
      <c r="H311" s="53"/>
      <c r="I311" s="53"/>
      <c r="J311" s="53"/>
      <c r="K311" s="53"/>
      <c r="L311" s="53"/>
      <c r="M311" s="54"/>
      <c r="N311" s="55"/>
    </row>
    <row r="312" spans="1:14" hidden="1" x14ac:dyDescent="0.3">
      <c r="A312" s="55" t="s">
        <v>69</v>
      </c>
      <c r="B312" s="8">
        <v>21294040</v>
      </c>
      <c r="C312" s="8">
        <f t="shared" ref="C312:C324" si="29">+D312+E312+F312+G312+H312+I312+J312+K312+L312+M312+N312</f>
        <v>15111662</v>
      </c>
      <c r="D312" s="8">
        <f>2304000+4508731</f>
        <v>6812731</v>
      </c>
      <c r="E312" s="9">
        <v>140760</v>
      </c>
      <c r="F312" s="8">
        <v>5614435</v>
      </c>
      <c r="G312" s="8">
        <v>802770</v>
      </c>
      <c r="H312" s="9">
        <v>289560</v>
      </c>
      <c r="I312" s="9"/>
      <c r="J312" s="9"/>
      <c r="K312" s="9">
        <v>188250</v>
      </c>
      <c r="L312" s="9">
        <v>1263156</v>
      </c>
      <c r="M312" s="9"/>
      <c r="N312" s="8"/>
    </row>
    <row r="313" spans="1:14" hidden="1" x14ac:dyDescent="0.3">
      <c r="A313" s="55" t="s">
        <v>70</v>
      </c>
      <c r="B313" s="8">
        <v>506340</v>
      </c>
      <c r="C313" s="8">
        <f t="shared" si="29"/>
        <v>455295</v>
      </c>
      <c r="D313" s="8">
        <v>303825</v>
      </c>
      <c r="E313" s="9"/>
      <c r="F313" s="8"/>
      <c r="G313" s="8"/>
      <c r="H313" s="9"/>
      <c r="I313" s="9"/>
      <c r="J313" s="9"/>
      <c r="K313" s="9"/>
      <c r="L313" s="9">
        <v>151470</v>
      </c>
      <c r="M313" s="9"/>
      <c r="N313" s="8"/>
    </row>
    <row r="314" spans="1:14" hidden="1" x14ac:dyDescent="0.3">
      <c r="A314" s="55" t="s">
        <v>71</v>
      </c>
      <c r="B314" s="8">
        <v>11097360</v>
      </c>
      <c r="C314" s="8">
        <f t="shared" si="29"/>
        <v>7094176</v>
      </c>
      <c r="D314" s="8">
        <v>1690324</v>
      </c>
      <c r="E314" s="9">
        <v>1000170</v>
      </c>
      <c r="F314" s="8">
        <v>1560020</v>
      </c>
      <c r="G314" s="8">
        <v>268152</v>
      </c>
      <c r="H314" s="9"/>
      <c r="I314" s="9">
        <v>1025910</v>
      </c>
      <c r="J314" s="9"/>
      <c r="K314" s="9">
        <v>102510</v>
      </c>
      <c r="L314" s="9">
        <v>1447090</v>
      </c>
      <c r="M314" s="9"/>
      <c r="N314" s="8"/>
    </row>
    <row r="315" spans="1:14" hidden="1" x14ac:dyDescent="0.3">
      <c r="A315" s="55" t="s">
        <v>72</v>
      </c>
      <c r="B315" s="56">
        <v>1381210</v>
      </c>
      <c r="C315" s="8">
        <f t="shared" si="29"/>
        <v>674745</v>
      </c>
      <c r="D315" s="8">
        <v>429170</v>
      </c>
      <c r="E315" s="9">
        <v>19550</v>
      </c>
      <c r="F315" s="8">
        <v>23500</v>
      </c>
      <c r="G315" s="8">
        <v>97055</v>
      </c>
      <c r="H315" s="9">
        <v>10000</v>
      </c>
      <c r="I315" s="9"/>
      <c r="J315" s="9"/>
      <c r="K315" s="9"/>
      <c r="L315" s="9">
        <v>95470</v>
      </c>
      <c r="M315" s="9"/>
      <c r="N315" s="8"/>
    </row>
    <row r="316" spans="1:14" hidden="1" x14ac:dyDescent="0.3">
      <c r="A316" s="52" t="s">
        <v>73</v>
      </c>
      <c r="B316" s="56">
        <v>17737160</v>
      </c>
      <c r="C316" s="8">
        <f t="shared" si="29"/>
        <v>9489676.6500000004</v>
      </c>
      <c r="D316" s="8">
        <v>1067654.8500000001</v>
      </c>
      <c r="E316" s="9">
        <v>283918</v>
      </c>
      <c r="F316" s="8">
        <v>4939690</v>
      </c>
      <c r="G316" s="8">
        <v>212576</v>
      </c>
      <c r="H316" s="9"/>
      <c r="I316" s="9">
        <v>573975</v>
      </c>
      <c r="J316" s="9">
        <v>187093</v>
      </c>
      <c r="K316" s="9">
        <v>1631045</v>
      </c>
      <c r="L316" s="9">
        <v>566774.80000000005</v>
      </c>
      <c r="M316" s="9">
        <v>26950</v>
      </c>
      <c r="N316" s="8"/>
    </row>
    <row r="317" spans="1:14" hidden="1" x14ac:dyDescent="0.3">
      <c r="A317" s="52" t="s">
        <v>74</v>
      </c>
      <c r="B317" s="8">
        <v>6705420</v>
      </c>
      <c r="C317" s="8">
        <f t="shared" si="29"/>
        <v>3074780.93</v>
      </c>
      <c r="D317" s="8">
        <v>802508.68</v>
      </c>
      <c r="E317" s="9">
        <v>55460</v>
      </c>
      <c r="F317" s="8">
        <v>1078970.05</v>
      </c>
      <c r="G317" s="8"/>
      <c r="H317" s="9"/>
      <c r="I317" s="9">
        <v>284447.2</v>
      </c>
      <c r="J317" s="9"/>
      <c r="K317" s="9">
        <v>4960</v>
      </c>
      <c r="L317" s="9">
        <v>792435</v>
      </c>
      <c r="M317" s="9">
        <v>56000</v>
      </c>
      <c r="N317" s="8"/>
    </row>
    <row r="318" spans="1:14" hidden="1" x14ac:dyDescent="0.3">
      <c r="A318" s="55" t="s">
        <v>75</v>
      </c>
      <c r="B318" s="8">
        <v>1165000</v>
      </c>
      <c r="C318" s="8">
        <f t="shared" si="29"/>
        <v>815744.82</v>
      </c>
      <c r="D318" s="8">
        <v>686163.37</v>
      </c>
      <c r="E318" s="9"/>
      <c r="F318" s="9">
        <v>121361.98</v>
      </c>
      <c r="G318" s="8"/>
      <c r="H318" s="9"/>
      <c r="I318" s="9"/>
      <c r="J318" s="9"/>
      <c r="K318" s="9">
        <v>8219.4699999999993</v>
      </c>
      <c r="L318" s="9"/>
      <c r="M318" s="9"/>
      <c r="N318" s="8"/>
    </row>
    <row r="319" spans="1:14" hidden="1" x14ac:dyDescent="0.3">
      <c r="A319" s="55" t="s">
        <v>76</v>
      </c>
      <c r="B319" s="8">
        <v>3509100</v>
      </c>
      <c r="C319" s="8">
        <f t="shared" si="29"/>
        <v>2796889.07</v>
      </c>
      <c r="D319" s="10">
        <v>75000</v>
      </c>
      <c r="E319" s="9">
        <v>240000</v>
      </c>
      <c r="F319" s="8">
        <v>1752000</v>
      </c>
      <c r="G319" s="8"/>
      <c r="H319" s="9"/>
      <c r="I319" s="9">
        <v>282389.07</v>
      </c>
      <c r="J319" s="9">
        <v>307500</v>
      </c>
      <c r="K319" s="9">
        <v>140000</v>
      </c>
      <c r="L319" s="9"/>
      <c r="M319" s="9"/>
      <c r="N319" s="8"/>
    </row>
    <row r="320" spans="1:14" hidden="1" x14ac:dyDescent="0.3">
      <c r="A320" s="55" t="s">
        <v>77</v>
      </c>
      <c r="B320" s="8">
        <v>10000</v>
      </c>
      <c r="C320" s="8">
        <f t="shared" si="29"/>
        <v>0</v>
      </c>
      <c r="D320" s="8"/>
      <c r="E320" s="9"/>
      <c r="F320" s="8"/>
      <c r="G320" s="8"/>
      <c r="H320" s="9"/>
      <c r="I320" s="9"/>
      <c r="J320" s="9"/>
      <c r="K320" s="9"/>
      <c r="L320" s="9"/>
      <c r="M320" s="9"/>
      <c r="N320" s="8"/>
    </row>
    <row r="321" spans="1:14" hidden="1" x14ac:dyDescent="0.3">
      <c r="A321" s="55" t="s">
        <v>78</v>
      </c>
      <c r="B321" s="8">
        <v>6803270</v>
      </c>
      <c r="C321" s="8">
        <f t="shared" si="29"/>
        <v>3522316.5</v>
      </c>
      <c r="D321" s="8"/>
      <c r="E321" s="9"/>
      <c r="F321" s="8"/>
      <c r="G321" s="8"/>
      <c r="H321" s="9"/>
      <c r="I321" s="9"/>
      <c r="J321" s="9"/>
      <c r="K321" s="9"/>
      <c r="L321" s="9"/>
      <c r="M321" s="9"/>
      <c r="N321" s="8">
        <v>3522316.5</v>
      </c>
    </row>
    <row r="322" spans="1:14" hidden="1" x14ac:dyDescent="0.3">
      <c r="A322" s="55" t="s">
        <v>79</v>
      </c>
      <c r="B322" s="8">
        <v>2024000</v>
      </c>
      <c r="C322" s="8">
        <f t="shared" si="29"/>
        <v>506478.64999999997</v>
      </c>
      <c r="D322" s="8">
        <v>37142.42</v>
      </c>
      <c r="E322" s="9">
        <v>181638</v>
      </c>
      <c r="F322" s="8"/>
      <c r="G322" s="8"/>
      <c r="H322" s="9"/>
      <c r="I322" s="9"/>
      <c r="J322" s="9"/>
      <c r="K322" s="9"/>
      <c r="L322" s="9">
        <v>287698.23</v>
      </c>
      <c r="M322" s="9"/>
      <c r="N322" s="8"/>
    </row>
    <row r="323" spans="1:14" hidden="1" x14ac:dyDescent="0.3">
      <c r="A323" s="60" t="s">
        <v>80</v>
      </c>
      <c r="B323" s="8">
        <v>7767100</v>
      </c>
      <c r="C323" s="8">
        <f t="shared" si="29"/>
        <v>902600</v>
      </c>
      <c r="D323" s="8"/>
      <c r="E323" s="9"/>
      <c r="F323" s="8"/>
      <c r="G323" s="8"/>
      <c r="H323" s="9"/>
      <c r="I323" s="9"/>
      <c r="J323" s="9"/>
      <c r="K323" s="9"/>
      <c r="L323" s="9">
        <v>902600</v>
      </c>
      <c r="M323" s="9"/>
      <c r="N323" s="8"/>
    </row>
    <row r="324" spans="1:14" hidden="1" x14ac:dyDescent="0.3">
      <c r="A324" s="60" t="s">
        <v>99</v>
      </c>
      <c r="B324" s="8"/>
      <c r="C324" s="8">
        <f t="shared" si="29"/>
        <v>0</v>
      </c>
      <c r="D324" s="8"/>
      <c r="E324" s="9"/>
      <c r="F324" s="8"/>
      <c r="G324" s="8"/>
      <c r="H324" s="9"/>
      <c r="I324" s="9"/>
      <c r="J324" s="9"/>
      <c r="K324" s="9"/>
      <c r="L324" s="9"/>
      <c r="M324" s="9"/>
      <c r="N324" s="8"/>
    </row>
    <row r="325" spans="1:14" hidden="1" x14ac:dyDescent="0.3">
      <c r="A325" s="61" t="s">
        <v>81</v>
      </c>
      <c r="B325" s="14">
        <f>SUM(B312:B324)</f>
        <v>80000000</v>
      </c>
      <c r="C325" s="14">
        <f t="shared" ref="C325:N325" si="30">SUM(C312:C324)</f>
        <v>44444364.619999997</v>
      </c>
      <c r="D325" s="14">
        <f t="shared" si="30"/>
        <v>11904519.319999998</v>
      </c>
      <c r="E325" s="14">
        <f t="shared" si="30"/>
        <v>1921496</v>
      </c>
      <c r="F325" s="14">
        <f t="shared" si="30"/>
        <v>15089977.030000001</v>
      </c>
      <c r="G325" s="14">
        <f t="shared" si="30"/>
        <v>1380553</v>
      </c>
      <c r="H325" s="14">
        <f t="shared" si="30"/>
        <v>299560</v>
      </c>
      <c r="I325" s="14">
        <f t="shared" si="30"/>
        <v>2166721.27</v>
      </c>
      <c r="J325" s="14">
        <f t="shared" si="30"/>
        <v>494593</v>
      </c>
      <c r="K325" s="14">
        <f t="shared" si="30"/>
        <v>2074984.47</v>
      </c>
      <c r="L325" s="14">
        <f t="shared" si="30"/>
        <v>5506694.0299999993</v>
      </c>
      <c r="M325" s="14">
        <f t="shared" si="30"/>
        <v>82950</v>
      </c>
      <c r="N325" s="14">
        <f t="shared" si="30"/>
        <v>3522316.5</v>
      </c>
    </row>
    <row r="326" spans="1:14" hidden="1" x14ac:dyDescent="0.3">
      <c r="A326" s="55" t="s">
        <v>82</v>
      </c>
      <c r="B326" s="8"/>
      <c r="C326" s="8">
        <f>+D326+E326+F326+G326+H326+I326+J326+K326+L326+M326+N326</f>
        <v>0</v>
      </c>
      <c r="D326" s="8"/>
      <c r="E326" s="9"/>
      <c r="F326" s="8"/>
      <c r="G326" s="56"/>
      <c r="H326" s="9"/>
      <c r="I326" s="9"/>
      <c r="J326" s="9"/>
      <c r="K326" s="9"/>
      <c r="L326" s="9"/>
      <c r="M326" s="9"/>
      <c r="N326" s="8"/>
    </row>
    <row r="327" spans="1:14" hidden="1" x14ac:dyDescent="0.3">
      <c r="A327" s="55" t="s">
        <v>29</v>
      </c>
      <c r="B327" s="8"/>
      <c r="C327" s="8">
        <f>+D327+E327+F327+G327+H327+I327+J327+K327+L327+M327+N327</f>
        <v>0</v>
      </c>
      <c r="D327" s="8"/>
      <c r="E327" s="9"/>
      <c r="F327" s="8"/>
      <c r="G327" s="56"/>
      <c r="H327" s="9"/>
      <c r="I327" s="9"/>
      <c r="J327" s="9"/>
      <c r="K327" s="9"/>
      <c r="L327" s="9"/>
      <c r="M327" s="9"/>
      <c r="N327" s="8"/>
    </row>
    <row r="328" spans="1:14" ht="19.5" hidden="1" thickBot="1" x14ac:dyDescent="0.35">
      <c r="A328" s="48" t="s">
        <v>83</v>
      </c>
      <c r="B328" s="62">
        <f>+B325</f>
        <v>80000000</v>
      </c>
      <c r="C328" s="62">
        <f t="shared" ref="C328:N328" si="31">+C325+C326+C327</f>
        <v>44444364.619999997</v>
      </c>
      <c r="D328" s="62">
        <f t="shared" si="31"/>
        <v>11904519.319999998</v>
      </c>
      <c r="E328" s="62">
        <f t="shared" si="31"/>
        <v>1921496</v>
      </c>
      <c r="F328" s="62">
        <f t="shared" si="31"/>
        <v>15089977.030000001</v>
      </c>
      <c r="G328" s="62">
        <f t="shared" si="31"/>
        <v>1380553</v>
      </c>
      <c r="H328" s="62">
        <f t="shared" si="31"/>
        <v>299560</v>
      </c>
      <c r="I328" s="62">
        <f t="shared" si="31"/>
        <v>2166721.27</v>
      </c>
      <c r="J328" s="62">
        <f t="shared" si="31"/>
        <v>494593</v>
      </c>
      <c r="K328" s="62">
        <f t="shared" si="31"/>
        <v>2074984.47</v>
      </c>
      <c r="L328" s="62">
        <f t="shared" si="31"/>
        <v>5506694.0299999993</v>
      </c>
      <c r="M328" s="62">
        <f t="shared" si="31"/>
        <v>82950</v>
      </c>
      <c r="N328" s="62">
        <f t="shared" si="31"/>
        <v>3522316.5</v>
      </c>
    </row>
    <row r="329" spans="1:14" ht="19.5" hidden="1" thickTop="1" x14ac:dyDescent="0.3">
      <c r="A329" s="48" t="s">
        <v>38</v>
      </c>
      <c r="B329" s="63"/>
      <c r="C329" s="8"/>
      <c r="D329" s="8"/>
      <c r="E329" s="8"/>
      <c r="F329" s="8"/>
      <c r="G329" s="56"/>
      <c r="H329" s="8"/>
      <c r="I329" s="8"/>
      <c r="J329" s="8"/>
      <c r="K329" s="8"/>
      <c r="L329" s="8"/>
      <c r="M329" s="64"/>
      <c r="N329" s="8"/>
    </row>
    <row r="330" spans="1:14" hidden="1" x14ac:dyDescent="0.3">
      <c r="A330" s="55" t="s">
        <v>84</v>
      </c>
      <c r="B330" s="8">
        <v>1110000</v>
      </c>
      <c r="C330" s="8">
        <v>1275051.32</v>
      </c>
      <c r="D330" s="8"/>
      <c r="E330" s="8"/>
      <c r="F330" s="8"/>
      <c r="G330" s="56"/>
      <c r="H330" s="8"/>
      <c r="I330" s="8"/>
      <c r="J330" s="8"/>
      <c r="K330" s="8"/>
      <c r="L330" s="8"/>
      <c r="M330" s="64"/>
      <c r="N330" s="8"/>
    </row>
    <row r="331" spans="1:14" hidden="1" x14ac:dyDescent="0.3">
      <c r="A331" s="55" t="s">
        <v>85</v>
      </c>
      <c r="B331" s="8">
        <v>594000</v>
      </c>
      <c r="C331" s="8">
        <v>1205623.49</v>
      </c>
      <c r="D331" s="8"/>
      <c r="E331" s="8"/>
      <c r="F331" s="8"/>
      <c r="G331" s="56"/>
      <c r="H331" s="8"/>
      <c r="I331" s="8"/>
      <c r="J331" s="8"/>
      <c r="K331" s="8"/>
      <c r="L331" s="8"/>
      <c r="M331" s="64"/>
      <c r="N331" s="8"/>
    </row>
    <row r="332" spans="1:14" hidden="1" x14ac:dyDescent="0.3">
      <c r="A332" s="55" t="s">
        <v>86</v>
      </c>
      <c r="B332" s="8">
        <v>1320000</v>
      </c>
      <c r="C332" s="8">
        <v>693669.46</v>
      </c>
      <c r="D332" s="8"/>
      <c r="E332" s="8"/>
      <c r="F332" s="8"/>
      <c r="G332" s="56"/>
      <c r="H332" s="8"/>
      <c r="I332" s="8"/>
      <c r="J332" s="8"/>
      <c r="K332" s="8"/>
      <c r="L332" s="8"/>
      <c r="M332" s="64"/>
      <c r="N332" s="8"/>
    </row>
    <row r="333" spans="1:14" hidden="1" x14ac:dyDescent="0.3">
      <c r="A333" s="55" t="s">
        <v>87</v>
      </c>
      <c r="B333" s="8">
        <v>116000</v>
      </c>
      <c r="C333" s="8">
        <v>267902</v>
      </c>
      <c r="D333" s="8"/>
      <c r="E333" s="8"/>
      <c r="F333" s="8"/>
      <c r="G333" s="56"/>
      <c r="H333" s="8"/>
      <c r="I333" s="8"/>
      <c r="J333" s="8"/>
      <c r="K333" s="8"/>
      <c r="L333" s="8"/>
      <c r="M333" s="64"/>
      <c r="N333" s="8"/>
    </row>
    <row r="334" spans="1:14" hidden="1" x14ac:dyDescent="0.3">
      <c r="A334" s="55" t="s">
        <v>88</v>
      </c>
      <c r="B334" s="8">
        <v>41360000</v>
      </c>
      <c r="C334" s="8">
        <v>34617067.130000003</v>
      </c>
      <c r="D334" s="8"/>
      <c r="E334" s="65"/>
      <c r="F334" s="8"/>
      <c r="G334" s="56"/>
      <c r="H334" s="8"/>
      <c r="I334" s="8"/>
      <c r="J334" s="8"/>
      <c r="K334" s="8"/>
      <c r="L334" s="8"/>
      <c r="M334" s="64"/>
      <c r="N334" s="8"/>
    </row>
    <row r="335" spans="1:14" hidden="1" x14ac:dyDescent="0.3">
      <c r="A335" s="55" t="s">
        <v>89</v>
      </c>
      <c r="B335" s="8">
        <v>35500000</v>
      </c>
      <c r="C335" s="8">
        <v>27837398</v>
      </c>
      <c r="D335" s="8"/>
      <c r="E335" s="65"/>
      <c r="F335" s="8"/>
      <c r="G335" s="56"/>
      <c r="H335" s="8"/>
      <c r="I335" s="8"/>
      <c r="J335" s="8"/>
      <c r="K335" s="8"/>
      <c r="L335" s="8"/>
      <c r="M335" s="64"/>
      <c r="N335" s="8"/>
    </row>
    <row r="336" spans="1:14" hidden="1" x14ac:dyDescent="0.3">
      <c r="A336" s="55" t="s">
        <v>90</v>
      </c>
      <c r="B336" s="8">
        <v>0</v>
      </c>
      <c r="C336" s="8"/>
      <c r="D336" s="8"/>
      <c r="E336" s="65"/>
      <c r="F336" s="8"/>
      <c r="G336" s="56"/>
      <c r="H336" s="8"/>
      <c r="I336" s="8"/>
      <c r="J336" s="8"/>
      <c r="K336" s="8"/>
      <c r="L336" s="8"/>
      <c r="M336" s="64"/>
      <c r="N336" s="8"/>
    </row>
    <row r="337" spans="1:14" hidden="1" x14ac:dyDescent="0.3">
      <c r="A337" s="55" t="s">
        <v>91</v>
      </c>
      <c r="B337" s="8">
        <v>0</v>
      </c>
      <c r="C337" s="8"/>
      <c r="D337" s="8"/>
      <c r="E337" s="8"/>
      <c r="F337" s="8"/>
      <c r="G337" s="56"/>
      <c r="H337" s="8"/>
      <c r="I337" s="8"/>
      <c r="J337" s="8"/>
      <c r="K337" s="8"/>
      <c r="L337" s="8"/>
      <c r="M337" s="64"/>
      <c r="N337" s="8"/>
    </row>
    <row r="338" spans="1:14" hidden="1" x14ac:dyDescent="0.3">
      <c r="A338" s="55" t="s">
        <v>100</v>
      </c>
      <c r="B338" s="8"/>
      <c r="C338" s="8"/>
      <c r="D338" s="8"/>
      <c r="E338" s="8"/>
      <c r="F338" s="8"/>
      <c r="G338" s="56"/>
      <c r="H338" s="8"/>
      <c r="I338" s="8"/>
      <c r="J338" s="8"/>
      <c r="K338" s="8"/>
      <c r="L338" s="8"/>
      <c r="M338" s="64"/>
      <c r="N338" s="8"/>
    </row>
    <row r="339" spans="1:14" ht="19.5" hidden="1" thickBot="1" x14ac:dyDescent="0.35">
      <c r="A339" s="66" t="s">
        <v>92</v>
      </c>
      <c r="B339" s="62">
        <f>SUM(B330:B338)</f>
        <v>80000000</v>
      </c>
      <c r="C339" s="62">
        <f t="shared" ref="C339:N339" si="32">SUM(C330:C338)</f>
        <v>65896711.400000006</v>
      </c>
      <c r="D339" s="62">
        <f t="shared" si="32"/>
        <v>0</v>
      </c>
      <c r="E339" s="62">
        <f t="shared" si="32"/>
        <v>0</v>
      </c>
      <c r="F339" s="62">
        <f t="shared" si="32"/>
        <v>0</v>
      </c>
      <c r="G339" s="62">
        <f t="shared" si="32"/>
        <v>0</v>
      </c>
      <c r="H339" s="62">
        <f t="shared" si="32"/>
        <v>0</v>
      </c>
      <c r="I339" s="62">
        <f t="shared" si="32"/>
        <v>0</v>
      </c>
      <c r="J339" s="62">
        <f t="shared" si="32"/>
        <v>0</v>
      </c>
      <c r="K339" s="62">
        <f t="shared" si="32"/>
        <v>0</v>
      </c>
      <c r="L339" s="62">
        <f t="shared" si="32"/>
        <v>0</v>
      </c>
      <c r="M339" s="62">
        <f t="shared" si="32"/>
        <v>0</v>
      </c>
      <c r="N339" s="62">
        <f t="shared" si="32"/>
        <v>0</v>
      </c>
    </row>
    <row r="340" spans="1:14" ht="20.25" hidden="1" thickTop="1" thickBot="1" x14ac:dyDescent="0.35">
      <c r="A340" s="70" t="s">
        <v>93</v>
      </c>
      <c r="B340" s="71"/>
      <c r="C340" s="72">
        <f>+C339-C328</f>
        <v>21452346.780000009</v>
      </c>
      <c r="D340" s="73"/>
      <c r="E340" s="74"/>
      <c r="F340" s="74"/>
      <c r="G340" s="75"/>
      <c r="H340" s="74"/>
      <c r="I340" s="74"/>
      <c r="J340" s="74"/>
      <c r="K340" s="74"/>
      <c r="L340" s="74"/>
      <c r="M340" s="76"/>
      <c r="N340" s="74"/>
    </row>
    <row r="341" spans="1:14" ht="19.5" hidden="1" thickTop="1" x14ac:dyDescent="0.3">
      <c r="A341" s="70"/>
      <c r="B341" s="77"/>
      <c r="C341" s="74"/>
      <c r="D341" s="74"/>
      <c r="E341" s="74"/>
      <c r="F341" s="74"/>
      <c r="G341" s="75"/>
      <c r="H341" s="74"/>
      <c r="I341" s="74"/>
      <c r="J341" s="74"/>
      <c r="K341" s="74"/>
      <c r="L341" s="74"/>
      <c r="M341" s="76"/>
      <c r="N341" s="74"/>
    </row>
    <row r="342" spans="1:14" hidden="1" x14ac:dyDescent="0.3">
      <c r="A342" s="70"/>
      <c r="B342" s="77"/>
      <c r="C342" s="74"/>
      <c r="D342" s="74"/>
      <c r="E342" s="74"/>
      <c r="F342" s="74"/>
      <c r="G342" s="75"/>
      <c r="H342" s="74"/>
      <c r="I342" s="74"/>
      <c r="J342" s="74"/>
      <c r="K342" s="74"/>
      <c r="L342" s="74"/>
      <c r="M342" s="76"/>
      <c r="N342" s="74"/>
    </row>
    <row r="343" spans="1:14" hidden="1" x14ac:dyDescent="0.3">
      <c r="A343" s="83" t="s">
        <v>48</v>
      </c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</row>
    <row r="344" spans="1:14" hidden="1" x14ac:dyDescent="0.3">
      <c r="A344" s="83" t="s">
        <v>1</v>
      </c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</row>
    <row r="345" spans="1:14" hidden="1" x14ac:dyDescent="0.3">
      <c r="A345" s="84" t="s">
        <v>104</v>
      </c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</row>
    <row r="346" spans="1:14" hidden="1" x14ac:dyDescent="0.3">
      <c r="A346" s="33" t="s">
        <v>50</v>
      </c>
      <c r="B346" s="33" t="s">
        <v>50</v>
      </c>
      <c r="C346" s="33" t="s">
        <v>50</v>
      </c>
      <c r="D346" s="33" t="s">
        <v>51</v>
      </c>
      <c r="E346" s="34" t="s">
        <v>52</v>
      </c>
      <c r="F346" s="33"/>
      <c r="G346" s="35"/>
      <c r="H346" s="34" t="s">
        <v>53</v>
      </c>
      <c r="I346" s="34" t="s">
        <v>54</v>
      </c>
      <c r="J346" s="34" t="s">
        <v>55</v>
      </c>
      <c r="K346" s="34" t="s">
        <v>56</v>
      </c>
      <c r="L346" s="34" t="s">
        <v>57</v>
      </c>
      <c r="M346" s="34"/>
      <c r="N346" s="36"/>
    </row>
    <row r="347" spans="1:14" hidden="1" x14ac:dyDescent="0.3">
      <c r="A347" s="40"/>
      <c r="B347" s="41" t="s">
        <v>4</v>
      </c>
      <c r="C347" s="41" t="s">
        <v>5</v>
      </c>
      <c r="D347" s="41" t="s">
        <v>58</v>
      </c>
      <c r="E347" s="42" t="s">
        <v>59</v>
      </c>
      <c r="F347" s="41" t="s">
        <v>8</v>
      </c>
      <c r="G347" s="43" t="s">
        <v>9</v>
      </c>
      <c r="H347" s="42" t="s">
        <v>60</v>
      </c>
      <c r="I347" s="42" t="s">
        <v>61</v>
      </c>
      <c r="J347" s="42" t="s">
        <v>62</v>
      </c>
      <c r="K347" s="42" t="s">
        <v>63</v>
      </c>
      <c r="L347" s="42" t="s">
        <v>64</v>
      </c>
      <c r="M347" s="42" t="s">
        <v>15</v>
      </c>
      <c r="N347" s="41" t="s">
        <v>16</v>
      </c>
    </row>
    <row r="348" spans="1:14" hidden="1" x14ac:dyDescent="0.3">
      <c r="A348" s="44"/>
      <c r="B348" s="44"/>
      <c r="C348" s="44"/>
      <c r="D348" s="44"/>
      <c r="E348" s="45" t="s">
        <v>65</v>
      </c>
      <c r="F348" s="44"/>
      <c r="G348" s="46"/>
      <c r="H348" s="45"/>
      <c r="I348" s="45"/>
      <c r="J348" s="45" t="s">
        <v>66</v>
      </c>
      <c r="K348" s="45" t="s">
        <v>67</v>
      </c>
      <c r="L348" s="45" t="s">
        <v>68</v>
      </c>
      <c r="M348" s="45"/>
      <c r="N348" s="47"/>
    </row>
    <row r="349" spans="1:14" hidden="1" x14ac:dyDescent="0.3">
      <c r="A349" s="48" t="s">
        <v>17</v>
      </c>
      <c r="B349" s="49"/>
      <c r="C349" s="50"/>
      <c r="D349" s="50" t="s">
        <v>50</v>
      </c>
      <c r="E349" s="51"/>
      <c r="F349" s="50"/>
      <c r="G349" s="52"/>
      <c r="H349" s="53"/>
      <c r="I349" s="53"/>
      <c r="J349" s="53"/>
      <c r="K349" s="53"/>
      <c r="L349" s="53"/>
      <c r="M349" s="54"/>
      <c r="N349" s="55"/>
    </row>
    <row r="350" spans="1:14" hidden="1" x14ac:dyDescent="0.3">
      <c r="A350" s="55" t="s">
        <v>69</v>
      </c>
      <c r="B350" s="8">
        <v>21294040</v>
      </c>
      <c r="C350" s="8">
        <f t="shared" ref="C350:C362" si="33">+D350+E350+F350+G350+H350+I350+J350+K350+L350+M350+N350</f>
        <v>16804350</v>
      </c>
      <c r="D350" s="8">
        <f>2560000+5012029</f>
        <v>7572029</v>
      </c>
      <c r="E350" s="9">
        <v>156600</v>
      </c>
      <c r="F350" s="8">
        <v>6245979</v>
      </c>
      <c r="G350" s="8">
        <v>893340</v>
      </c>
      <c r="H350" s="9">
        <v>328230</v>
      </c>
      <c r="I350" s="9">
        <v>0</v>
      </c>
      <c r="J350" s="9">
        <v>0</v>
      </c>
      <c r="K350" s="9">
        <v>209440</v>
      </c>
      <c r="L350" s="9">
        <v>1398732</v>
      </c>
      <c r="M350" s="9">
        <v>0</v>
      </c>
      <c r="N350" s="8"/>
    </row>
    <row r="351" spans="1:14" hidden="1" x14ac:dyDescent="0.3">
      <c r="A351" s="55" t="s">
        <v>70</v>
      </c>
      <c r="B351" s="8">
        <v>506340</v>
      </c>
      <c r="C351" s="8">
        <f t="shared" si="33"/>
        <v>502965</v>
      </c>
      <c r="D351" s="8">
        <v>335775</v>
      </c>
      <c r="E351" s="9">
        <v>0</v>
      </c>
      <c r="F351" s="8">
        <v>0</v>
      </c>
      <c r="G351" s="8">
        <v>0</v>
      </c>
      <c r="H351" s="9">
        <v>0</v>
      </c>
      <c r="I351" s="9">
        <v>0</v>
      </c>
      <c r="J351" s="9">
        <v>0</v>
      </c>
      <c r="K351" s="9">
        <v>0</v>
      </c>
      <c r="L351" s="9">
        <v>167190</v>
      </c>
      <c r="M351" s="9">
        <v>0</v>
      </c>
      <c r="N351" s="8"/>
    </row>
    <row r="352" spans="1:14" hidden="1" x14ac:dyDescent="0.3">
      <c r="A352" s="55" t="s">
        <v>71</v>
      </c>
      <c r="B352" s="8">
        <v>11097360</v>
      </c>
      <c r="C352" s="8">
        <f t="shared" si="33"/>
        <v>7881136</v>
      </c>
      <c r="D352" s="8">
        <v>1872654</v>
      </c>
      <c r="E352" s="9">
        <v>1111300</v>
      </c>
      <c r="F352" s="8">
        <v>1753540</v>
      </c>
      <c r="G352" s="8">
        <v>279542</v>
      </c>
      <c r="H352" s="9">
        <v>0</v>
      </c>
      <c r="I352" s="9">
        <v>1139900</v>
      </c>
      <c r="J352" s="9">
        <v>0</v>
      </c>
      <c r="K352" s="9">
        <v>113900</v>
      </c>
      <c r="L352" s="9">
        <v>1610300</v>
      </c>
      <c r="M352" s="9">
        <v>0</v>
      </c>
      <c r="N352" s="8"/>
    </row>
    <row r="353" spans="1:14" hidden="1" x14ac:dyDescent="0.3">
      <c r="A353" s="55" t="s">
        <v>72</v>
      </c>
      <c r="B353" s="56">
        <v>1381210</v>
      </c>
      <c r="C353" s="8">
        <f t="shared" si="33"/>
        <v>749166.75</v>
      </c>
      <c r="D353" s="8">
        <v>465260</v>
      </c>
      <c r="E353" s="9">
        <v>21500</v>
      </c>
      <c r="F353" s="8">
        <v>26500</v>
      </c>
      <c r="G353" s="8">
        <v>103355</v>
      </c>
      <c r="H353" s="9">
        <v>14671.75</v>
      </c>
      <c r="I353" s="9">
        <v>0</v>
      </c>
      <c r="J353" s="9">
        <v>0</v>
      </c>
      <c r="K353" s="9">
        <v>0</v>
      </c>
      <c r="L353" s="9">
        <v>117880</v>
      </c>
      <c r="M353" s="9">
        <v>0</v>
      </c>
      <c r="N353" s="8"/>
    </row>
    <row r="354" spans="1:14" hidden="1" x14ac:dyDescent="0.3">
      <c r="A354" s="52" t="s">
        <v>73</v>
      </c>
      <c r="B354" s="56">
        <v>17737160</v>
      </c>
      <c r="C354" s="8">
        <f t="shared" si="33"/>
        <v>10697594.4</v>
      </c>
      <c r="D354" s="8">
        <v>1145137.6000000001</v>
      </c>
      <c r="E354" s="9">
        <v>303718</v>
      </c>
      <c r="F354" s="8">
        <v>5715800</v>
      </c>
      <c r="G354" s="8">
        <v>230076</v>
      </c>
      <c r="H354" s="9">
        <v>0</v>
      </c>
      <c r="I354" s="9">
        <v>795100</v>
      </c>
      <c r="J354" s="9">
        <v>205193</v>
      </c>
      <c r="K354" s="9">
        <v>1639545</v>
      </c>
      <c r="L354" s="9">
        <v>566774.80000000005</v>
      </c>
      <c r="M354" s="9">
        <v>96250</v>
      </c>
      <c r="N354" s="8"/>
    </row>
    <row r="355" spans="1:14" hidden="1" x14ac:dyDescent="0.3">
      <c r="A355" s="52" t="s">
        <v>74</v>
      </c>
      <c r="B355" s="8">
        <v>6705420</v>
      </c>
      <c r="C355" s="8">
        <f t="shared" si="33"/>
        <v>3436517.92</v>
      </c>
      <c r="D355" s="8">
        <v>823935.81</v>
      </c>
      <c r="E355" s="9">
        <v>55460</v>
      </c>
      <c r="F355" s="8">
        <v>1218846.4099999999</v>
      </c>
      <c r="G355" s="8">
        <v>0</v>
      </c>
      <c r="H355" s="9">
        <v>0</v>
      </c>
      <c r="I355" s="9">
        <v>398607.2</v>
      </c>
      <c r="J355" s="9">
        <v>0</v>
      </c>
      <c r="K355" s="9">
        <v>4960</v>
      </c>
      <c r="L355" s="9">
        <v>878708.5</v>
      </c>
      <c r="M355" s="9">
        <v>56000</v>
      </c>
      <c r="N355" s="8"/>
    </row>
    <row r="356" spans="1:14" hidden="1" x14ac:dyDescent="0.3">
      <c r="A356" s="55" t="s">
        <v>75</v>
      </c>
      <c r="B356" s="8">
        <v>1165000</v>
      </c>
      <c r="C356" s="8">
        <f t="shared" si="33"/>
        <v>911129.91</v>
      </c>
      <c r="D356" s="8">
        <v>763268.29</v>
      </c>
      <c r="E356" s="9">
        <v>0</v>
      </c>
      <c r="F356" s="9">
        <v>139110.03</v>
      </c>
      <c r="G356" s="8">
        <v>0</v>
      </c>
      <c r="H356" s="9">
        <v>0</v>
      </c>
      <c r="I356" s="9">
        <v>0</v>
      </c>
      <c r="J356" s="9">
        <v>0</v>
      </c>
      <c r="K356" s="9">
        <v>8751.59</v>
      </c>
      <c r="L356" s="9">
        <v>0</v>
      </c>
      <c r="M356" s="9">
        <v>0</v>
      </c>
      <c r="N356" s="8"/>
    </row>
    <row r="357" spans="1:14" hidden="1" x14ac:dyDescent="0.3">
      <c r="A357" s="55" t="s">
        <v>76</v>
      </c>
      <c r="B357" s="8">
        <v>3509100</v>
      </c>
      <c r="C357" s="8">
        <f t="shared" si="33"/>
        <v>3166889.07</v>
      </c>
      <c r="D357" s="10">
        <v>120000</v>
      </c>
      <c r="E357" s="9">
        <v>240000</v>
      </c>
      <c r="F357" s="8">
        <v>2037000</v>
      </c>
      <c r="G357" s="8">
        <v>0</v>
      </c>
      <c r="H357" s="9">
        <v>0</v>
      </c>
      <c r="I357" s="9">
        <v>282389.07</v>
      </c>
      <c r="J357" s="9">
        <v>307500</v>
      </c>
      <c r="K357" s="9">
        <v>180000</v>
      </c>
      <c r="L357" s="9">
        <v>0</v>
      </c>
      <c r="M357" s="9">
        <v>0</v>
      </c>
      <c r="N357" s="8"/>
    </row>
    <row r="358" spans="1:14" hidden="1" x14ac:dyDescent="0.3">
      <c r="A358" s="55" t="s">
        <v>77</v>
      </c>
      <c r="B358" s="8">
        <v>10000</v>
      </c>
      <c r="C358" s="8">
        <f t="shared" si="33"/>
        <v>0</v>
      </c>
      <c r="D358" s="8">
        <v>0</v>
      </c>
      <c r="E358" s="9">
        <v>0</v>
      </c>
      <c r="F358" s="8">
        <v>0</v>
      </c>
      <c r="G358" s="8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8"/>
    </row>
    <row r="359" spans="1:14" hidden="1" x14ac:dyDescent="0.3">
      <c r="A359" s="55" t="s">
        <v>78</v>
      </c>
      <c r="B359" s="8">
        <v>6803270</v>
      </c>
      <c r="C359" s="8">
        <f t="shared" si="33"/>
        <v>3645239</v>
      </c>
      <c r="D359" s="8">
        <v>0</v>
      </c>
      <c r="E359" s="9">
        <v>0</v>
      </c>
      <c r="F359" s="8">
        <v>0</v>
      </c>
      <c r="G359" s="8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8">
        <v>3645239</v>
      </c>
    </row>
    <row r="360" spans="1:14" hidden="1" x14ac:dyDescent="0.3">
      <c r="A360" s="55" t="s">
        <v>79</v>
      </c>
      <c r="B360" s="8">
        <v>2024000</v>
      </c>
      <c r="C360" s="8">
        <f t="shared" si="33"/>
        <v>533278.64999999991</v>
      </c>
      <c r="D360" s="8">
        <v>37142.42</v>
      </c>
      <c r="E360" s="9">
        <v>181638</v>
      </c>
      <c r="F360" s="8">
        <v>9500</v>
      </c>
      <c r="G360" s="8">
        <v>17300</v>
      </c>
      <c r="H360" s="9">
        <v>0</v>
      </c>
      <c r="I360" s="9">
        <v>0</v>
      </c>
      <c r="J360" s="9">
        <v>0</v>
      </c>
      <c r="K360" s="9">
        <v>0</v>
      </c>
      <c r="L360" s="9">
        <v>287698.23</v>
      </c>
      <c r="M360" s="9">
        <v>0</v>
      </c>
      <c r="N360" s="8"/>
    </row>
    <row r="361" spans="1:14" hidden="1" x14ac:dyDescent="0.3">
      <c r="A361" s="60" t="s">
        <v>80</v>
      </c>
      <c r="B361" s="8">
        <v>7767100</v>
      </c>
      <c r="C361" s="8">
        <f t="shared" si="33"/>
        <v>902600</v>
      </c>
      <c r="D361" s="8">
        <v>0</v>
      </c>
      <c r="E361" s="9">
        <v>0</v>
      </c>
      <c r="F361" s="8">
        <v>0</v>
      </c>
      <c r="G361" s="8">
        <v>0</v>
      </c>
      <c r="H361" s="9">
        <v>0</v>
      </c>
      <c r="I361" s="9">
        <v>0</v>
      </c>
      <c r="J361" s="9">
        <v>0</v>
      </c>
      <c r="K361" s="9">
        <v>0</v>
      </c>
      <c r="L361" s="9">
        <v>902600</v>
      </c>
      <c r="M361" s="9">
        <v>0</v>
      </c>
      <c r="N361" s="8"/>
    </row>
    <row r="362" spans="1:14" hidden="1" x14ac:dyDescent="0.3">
      <c r="A362" s="60" t="s">
        <v>99</v>
      </c>
      <c r="B362" s="8"/>
      <c r="C362" s="8">
        <f t="shared" si="33"/>
        <v>0</v>
      </c>
      <c r="D362" s="8">
        <v>0</v>
      </c>
      <c r="E362" s="9">
        <v>0</v>
      </c>
      <c r="F362" s="8">
        <v>0</v>
      </c>
      <c r="G362" s="8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8"/>
    </row>
    <row r="363" spans="1:14" hidden="1" x14ac:dyDescent="0.3">
      <c r="A363" s="61" t="s">
        <v>81</v>
      </c>
      <c r="B363" s="14">
        <f>SUM(B350:B362)</f>
        <v>80000000</v>
      </c>
      <c r="C363" s="14">
        <f t="shared" ref="C363:N363" si="34">SUM(C350:C362)</f>
        <v>49230866.699999996</v>
      </c>
      <c r="D363" s="14">
        <f t="shared" si="34"/>
        <v>13135202.119999999</v>
      </c>
      <c r="E363" s="14">
        <f t="shared" si="34"/>
        <v>2070216</v>
      </c>
      <c r="F363" s="14">
        <f t="shared" si="34"/>
        <v>17146275.439999998</v>
      </c>
      <c r="G363" s="14">
        <f t="shared" si="34"/>
        <v>1523613</v>
      </c>
      <c r="H363" s="14">
        <f t="shared" si="34"/>
        <v>342901.75</v>
      </c>
      <c r="I363" s="14">
        <f t="shared" si="34"/>
        <v>2615996.27</v>
      </c>
      <c r="J363" s="14">
        <f t="shared" si="34"/>
        <v>512693</v>
      </c>
      <c r="K363" s="14">
        <f t="shared" si="34"/>
        <v>2156596.59</v>
      </c>
      <c r="L363" s="14">
        <f t="shared" si="34"/>
        <v>5929883.5299999993</v>
      </c>
      <c r="M363" s="14">
        <f t="shared" si="34"/>
        <v>152250</v>
      </c>
      <c r="N363" s="14">
        <f t="shared" si="34"/>
        <v>3645239</v>
      </c>
    </row>
    <row r="364" spans="1:14" hidden="1" x14ac:dyDescent="0.3">
      <c r="A364" s="55" t="s">
        <v>82</v>
      </c>
      <c r="B364" s="8"/>
      <c r="C364" s="8">
        <f>+D364+E364+F364+G364+H364+I364+J364+K364+L364+M364+N364</f>
        <v>0</v>
      </c>
      <c r="D364" s="8"/>
      <c r="E364" s="9"/>
      <c r="F364" s="8"/>
      <c r="G364" s="56"/>
      <c r="H364" s="9"/>
      <c r="I364" s="9"/>
      <c r="J364" s="9"/>
      <c r="K364" s="9"/>
      <c r="L364" s="9"/>
      <c r="M364" s="9"/>
      <c r="N364" s="8"/>
    </row>
    <row r="365" spans="1:14" hidden="1" x14ac:dyDescent="0.3">
      <c r="A365" s="55" t="s">
        <v>29</v>
      </c>
      <c r="B365" s="8"/>
      <c r="C365" s="8">
        <f>+D365+E365+F365+G365+H365+I365+J365+K365+L365+M365+N365</f>
        <v>0</v>
      </c>
      <c r="D365" s="8"/>
      <c r="E365" s="9"/>
      <c r="F365" s="8"/>
      <c r="G365" s="56"/>
      <c r="H365" s="9"/>
      <c r="I365" s="9"/>
      <c r="J365" s="9"/>
      <c r="K365" s="9"/>
      <c r="L365" s="9"/>
      <c r="M365" s="9"/>
      <c r="N365" s="8"/>
    </row>
    <row r="366" spans="1:14" ht="19.5" hidden="1" thickBot="1" x14ac:dyDescent="0.35">
      <c r="A366" s="48" t="s">
        <v>83</v>
      </c>
      <c r="B366" s="62">
        <f>+B363</f>
        <v>80000000</v>
      </c>
      <c r="C366" s="62">
        <f t="shared" ref="C366:N366" si="35">+C363+C364+C365</f>
        <v>49230866.699999996</v>
      </c>
      <c r="D366" s="62">
        <f t="shared" si="35"/>
        <v>13135202.119999999</v>
      </c>
      <c r="E366" s="62">
        <f t="shared" si="35"/>
        <v>2070216</v>
      </c>
      <c r="F366" s="62">
        <f t="shared" si="35"/>
        <v>17146275.439999998</v>
      </c>
      <c r="G366" s="62">
        <f t="shared" si="35"/>
        <v>1523613</v>
      </c>
      <c r="H366" s="62">
        <f t="shared" si="35"/>
        <v>342901.75</v>
      </c>
      <c r="I366" s="62">
        <f t="shared" si="35"/>
        <v>2615996.27</v>
      </c>
      <c r="J366" s="62">
        <f t="shared" si="35"/>
        <v>512693</v>
      </c>
      <c r="K366" s="62">
        <f t="shared" si="35"/>
        <v>2156596.59</v>
      </c>
      <c r="L366" s="62">
        <f t="shared" si="35"/>
        <v>5929883.5299999993</v>
      </c>
      <c r="M366" s="62">
        <f t="shared" si="35"/>
        <v>152250</v>
      </c>
      <c r="N366" s="62">
        <f t="shared" si="35"/>
        <v>3645239</v>
      </c>
    </row>
    <row r="367" spans="1:14" ht="19.5" hidden="1" thickTop="1" x14ac:dyDescent="0.3">
      <c r="A367" s="48" t="s">
        <v>38</v>
      </c>
      <c r="B367" s="63"/>
      <c r="C367" s="8"/>
      <c r="D367" s="8"/>
      <c r="E367" s="8"/>
      <c r="F367" s="8"/>
      <c r="G367" s="56"/>
      <c r="H367" s="8"/>
      <c r="I367" s="8"/>
      <c r="J367" s="8"/>
      <c r="K367" s="8"/>
      <c r="L367" s="8"/>
      <c r="M367" s="64"/>
      <c r="N367" s="8"/>
    </row>
    <row r="368" spans="1:14" hidden="1" x14ac:dyDescent="0.3">
      <c r="A368" s="55" t="s">
        <v>84</v>
      </c>
      <c r="B368" s="8">
        <v>1110000</v>
      </c>
      <c r="C368" s="8">
        <v>1283698.3700000001</v>
      </c>
      <c r="D368" s="8"/>
      <c r="E368" s="8"/>
      <c r="F368" s="8"/>
      <c r="G368" s="56"/>
      <c r="H368" s="8"/>
      <c r="I368" s="8"/>
      <c r="J368" s="8"/>
      <c r="K368" s="8"/>
      <c r="L368" s="8"/>
      <c r="M368" s="64"/>
      <c r="N368" s="8"/>
    </row>
    <row r="369" spans="1:14" hidden="1" x14ac:dyDescent="0.3">
      <c r="A369" s="55" t="s">
        <v>85</v>
      </c>
      <c r="B369" s="8">
        <v>594000</v>
      </c>
      <c r="C369" s="8">
        <v>1211297.8899999999</v>
      </c>
      <c r="D369" s="8"/>
      <c r="E369" s="8"/>
      <c r="F369" s="8"/>
      <c r="G369" s="56"/>
      <c r="H369" s="8"/>
      <c r="I369" s="8"/>
      <c r="J369" s="8"/>
      <c r="K369" s="8"/>
      <c r="L369" s="8"/>
      <c r="M369" s="64"/>
      <c r="N369" s="8"/>
    </row>
    <row r="370" spans="1:14" hidden="1" x14ac:dyDescent="0.3">
      <c r="A370" s="55" t="s">
        <v>86</v>
      </c>
      <c r="B370" s="8">
        <v>1320000</v>
      </c>
      <c r="C370" s="8">
        <v>939755.32</v>
      </c>
      <c r="D370" s="8"/>
      <c r="E370" s="8"/>
      <c r="F370" s="8"/>
      <c r="G370" s="56"/>
      <c r="H370" s="8"/>
      <c r="I370" s="8"/>
      <c r="J370" s="8"/>
      <c r="K370" s="8"/>
      <c r="L370" s="8"/>
      <c r="M370" s="64"/>
      <c r="N370" s="8"/>
    </row>
    <row r="371" spans="1:14" hidden="1" x14ac:dyDescent="0.3">
      <c r="A371" s="55" t="s">
        <v>87</v>
      </c>
      <c r="B371" s="8">
        <v>116000</v>
      </c>
      <c r="C371" s="8">
        <v>293196</v>
      </c>
      <c r="D371" s="8"/>
      <c r="E371" s="8"/>
      <c r="F371" s="8"/>
      <c r="G371" s="56"/>
      <c r="H371" s="8"/>
      <c r="I371" s="8"/>
      <c r="J371" s="8"/>
      <c r="K371" s="8"/>
      <c r="L371" s="8"/>
      <c r="M371" s="64"/>
      <c r="N371" s="8"/>
    </row>
    <row r="372" spans="1:14" hidden="1" x14ac:dyDescent="0.3">
      <c r="A372" s="55" t="s">
        <v>88</v>
      </c>
      <c r="B372" s="8">
        <v>41360000</v>
      </c>
      <c r="C372" s="8">
        <v>41197316.350000001</v>
      </c>
      <c r="D372" s="8"/>
      <c r="E372" s="65"/>
      <c r="F372" s="8"/>
      <c r="G372" s="56"/>
      <c r="H372" s="8"/>
      <c r="I372" s="8"/>
      <c r="J372" s="8"/>
      <c r="K372" s="8"/>
      <c r="L372" s="8"/>
      <c r="M372" s="64"/>
      <c r="N372" s="8"/>
    </row>
    <row r="373" spans="1:14" hidden="1" x14ac:dyDescent="0.3">
      <c r="A373" s="55" t="s">
        <v>89</v>
      </c>
      <c r="B373" s="8">
        <v>35500000</v>
      </c>
      <c r="C373" s="8">
        <v>32573971</v>
      </c>
      <c r="D373" s="8"/>
      <c r="E373" s="65"/>
      <c r="F373" s="8"/>
      <c r="G373" s="56"/>
      <c r="H373" s="8"/>
      <c r="I373" s="8"/>
      <c r="J373" s="8"/>
      <c r="K373" s="8"/>
      <c r="L373" s="8"/>
      <c r="M373" s="64"/>
      <c r="N373" s="8"/>
    </row>
    <row r="374" spans="1:14" hidden="1" x14ac:dyDescent="0.3">
      <c r="A374" s="55" t="s">
        <v>90</v>
      </c>
      <c r="B374" s="8">
        <v>0</v>
      </c>
      <c r="C374" s="8"/>
      <c r="D374" s="8"/>
      <c r="E374" s="65"/>
      <c r="F374" s="8"/>
      <c r="G374" s="56"/>
      <c r="H374" s="8"/>
      <c r="I374" s="8"/>
      <c r="J374" s="8"/>
      <c r="K374" s="8"/>
      <c r="L374" s="8"/>
      <c r="M374" s="64"/>
      <c r="N374" s="8"/>
    </row>
    <row r="375" spans="1:14" hidden="1" x14ac:dyDescent="0.3">
      <c r="A375" s="55" t="s">
        <v>91</v>
      </c>
      <c r="B375" s="8">
        <v>0</v>
      </c>
      <c r="C375" s="8"/>
      <c r="D375" s="8"/>
      <c r="E375" s="8"/>
      <c r="F375" s="8"/>
      <c r="G375" s="56"/>
      <c r="H375" s="8"/>
      <c r="I375" s="8"/>
      <c r="J375" s="8"/>
      <c r="K375" s="8"/>
      <c r="L375" s="8"/>
      <c r="M375" s="64"/>
      <c r="N375" s="8"/>
    </row>
    <row r="376" spans="1:14" hidden="1" x14ac:dyDescent="0.3">
      <c r="A376" s="55" t="s">
        <v>100</v>
      </c>
      <c r="B376" s="8"/>
      <c r="C376" s="8"/>
      <c r="D376" s="8"/>
      <c r="E376" s="8"/>
      <c r="F376" s="8"/>
      <c r="G376" s="56"/>
      <c r="H376" s="8"/>
      <c r="I376" s="8"/>
      <c r="J376" s="8"/>
      <c r="K376" s="8"/>
      <c r="L376" s="8"/>
      <c r="M376" s="64"/>
      <c r="N376" s="8"/>
    </row>
    <row r="377" spans="1:14" ht="19.5" hidden="1" thickBot="1" x14ac:dyDescent="0.35">
      <c r="A377" s="66" t="s">
        <v>92</v>
      </c>
      <c r="B377" s="62">
        <f>SUM(B368:B376)</f>
        <v>80000000</v>
      </c>
      <c r="C377" s="62">
        <f t="shared" ref="C377:N377" si="36">SUM(C368:C376)</f>
        <v>77499234.930000007</v>
      </c>
      <c r="D377" s="62">
        <f t="shared" si="36"/>
        <v>0</v>
      </c>
      <c r="E377" s="62">
        <f t="shared" si="36"/>
        <v>0</v>
      </c>
      <c r="F377" s="62">
        <f t="shared" si="36"/>
        <v>0</v>
      </c>
      <c r="G377" s="62">
        <f t="shared" si="36"/>
        <v>0</v>
      </c>
      <c r="H377" s="62">
        <f t="shared" si="36"/>
        <v>0</v>
      </c>
      <c r="I377" s="62">
        <f t="shared" si="36"/>
        <v>0</v>
      </c>
      <c r="J377" s="62">
        <f t="shared" si="36"/>
        <v>0</v>
      </c>
      <c r="K377" s="62">
        <f t="shared" si="36"/>
        <v>0</v>
      </c>
      <c r="L377" s="62">
        <f t="shared" si="36"/>
        <v>0</v>
      </c>
      <c r="M377" s="62">
        <f t="shared" si="36"/>
        <v>0</v>
      </c>
      <c r="N377" s="62">
        <f t="shared" si="36"/>
        <v>0</v>
      </c>
    </row>
    <row r="378" spans="1:14" ht="20.25" hidden="1" thickTop="1" thickBot="1" x14ac:dyDescent="0.35">
      <c r="A378" s="70" t="s">
        <v>93</v>
      </c>
      <c r="B378" s="71"/>
      <c r="C378" s="72">
        <f>+C377-C366</f>
        <v>28268368.230000012</v>
      </c>
      <c r="D378" s="73"/>
      <c r="E378" s="74"/>
      <c r="F378" s="74"/>
      <c r="G378" s="75"/>
      <c r="H378" s="74"/>
      <c r="I378" s="74"/>
      <c r="J378" s="74"/>
      <c r="K378" s="74"/>
      <c r="L378" s="74"/>
      <c r="M378" s="76"/>
      <c r="N378" s="74"/>
    </row>
    <row r="379" spans="1:14" ht="19.5" hidden="1" thickTop="1" x14ac:dyDescent="0.3">
      <c r="A379" s="70"/>
      <c r="B379" s="77"/>
      <c r="C379" s="74"/>
      <c r="D379" s="74"/>
      <c r="E379" s="74"/>
      <c r="F379" s="74"/>
      <c r="G379" s="75"/>
      <c r="H379" s="74"/>
      <c r="I379" s="74"/>
      <c r="J379" s="74"/>
      <c r="K379" s="74"/>
      <c r="L379" s="74"/>
      <c r="M379" s="76"/>
      <c r="N379" s="74"/>
    </row>
    <row r="380" spans="1:14" hidden="1" x14ac:dyDescent="0.3">
      <c r="A380" s="70"/>
      <c r="B380" s="77"/>
      <c r="C380" s="74"/>
      <c r="D380" s="74"/>
      <c r="E380" s="74"/>
      <c r="F380" s="74"/>
      <c r="G380" s="75"/>
      <c r="H380" s="74"/>
      <c r="I380" s="74"/>
      <c r="J380" s="74"/>
      <c r="K380" s="74"/>
      <c r="L380" s="74"/>
      <c r="M380" s="76"/>
      <c r="N380" s="74"/>
    </row>
    <row r="381" spans="1:14" hidden="1" x14ac:dyDescent="0.3">
      <c r="A381" s="83" t="s">
        <v>48</v>
      </c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</row>
    <row r="382" spans="1:14" hidden="1" x14ac:dyDescent="0.3">
      <c r="A382" s="83" t="s">
        <v>1</v>
      </c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</row>
    <row r="383" spans="1:14" hidden="1" x14ac:dyDescent="0.3">
      <c r="A383" s="84" t="s">
        <v>105</v>
      </c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</row>
    <row r="384" spans="1:14" hidden="1" x14ac:dyDescent="0.3">
      <c r="A384" s="33" t="s">
        <v>50</v>
      </c>
      <c r="B384" s="33" t="s">
        <v>50</v>
      </c>
      <c r="C384" s="33" t="s">
        <v>50</v>
      </c>
      <c r="D384" s="33" t="s">
        <v>51</v>
      </c>
      <c r="E384" s="34" t="s">
        <v>52</v>
      </c>
      <c r="F384" s="33"/>
      <c r="G384" s="35"/>
      <c r="H384" s="34" t="s">
        <v>53</v>
      </c>
      <c r="I384" s="34" t="s">
        <v>54</v>
      </c>
      <c r="J384" s="34" t="s">
        <v>55</v>
      </c>
      <c r="K384" s="34" t="s">
        <v>56</v>
      </c>
      <c r="L384" s="34" t="s">
        <v>57</v>
      </c>
      <c r="M384" s="34"/>
      <c r="N384" s="36"/>
    </row>
    <row r="385" spans="1:14" hidden="1" x14ac:dyDescent="0.3">
      <c r="A385" s="40"/>
      <c r="B385" s="41" t="s">
        <v>4</v>
      </c>
      <c r="C385" s="41" t="s">
        <v>5</v>
      </c>
      <c r="D385" s="41" t="s">
        <v>58</v>
      </c>
      <c r="E385" s="42" t="s">
        <v>59</v>
      </c>
      <c r="F385" s="41" t="s">
        <v>8</v>
      </c>
      <c r="G385" s="43" t="s">
        <v>9</v>
      </c>
      <c r="H385" s="42" t="s">
        <v>60</v>
      </c>
      <c r="I385" s="42" t="s">
        <v>61</v>
      </c>
      <c r="J385" s="42" t="s">
        <v>62</v>
      </c>
      <c r="K385" s="42" t="s">
        <v>63</v>
      </c>
      <c r="L385" s="42" t="s">
        <v>64</v>
      </c>
      <c r="M385" s="42" t="s">
        <v>15</v>
      </c>
      <c r="N385" s="41" t="s">
        <v>16</v>
      </c>
    </row>
    <row r="386" spans="1:14" hidden="1" x14ac:dyDescent="0.3">
      <c r="A386" s="44"/>
      <c r="B386" s="44"/>
      <c r="C386" s="44"/>
      <c r="D386" s="44"/>
      <c r="E386" s="45" t="s">
        <v>65</v>
      </c>
      <c r="F386" s="44"/>
      <c r="G386" s="46"/>
      <c r="H386" s="45"/>
      <c r="I386" s="45"/>
      <c r="J386" s="45" t="s">
        <v>66</v>
      </c>
      <c r="K386" s="45" t="s">
        <v>67</v>
      </c>
      <c r="L386" s="45" t="s">
        <v>68</v>
      </c>
      <c r="M386" s="45"/>
      <c r="N386" s="47"/>
    </row>
    <row r="387" spans="1:14" hidden="1" x14ac:dyDescent="0.3">
      <c r="A387" s="48" t="s">
        <v>17</v>
      </c>
      <c r="B387" s="49"/>
      <c r="C387" s="50"/>
      <c r="D387" s="50" t="s">
        <v>50</v>
      </c>
      <c r="E387" s="51"/>
      <c r="F387" s="50"/>
      <c r="G387" s="52"/>
      <c r="H387" s="53"/>
      <c r="I387" s="53"/>
      <c r="J387" s="53"/>
      <c r="K387" s="53"/>
      <c r="L387" s="53"/>
      <c r="M387" s="54"/>
      <c r="N387" s="55"/>
    </row>
    <row r="388" spans="1:14" hidden="1" x14ac:dyDescent="0.3">
      <c r="A388" s="55" t="s">
        <v>69</v>
      </c>
      <c r="B388" s="8">
        <v>21294040</v>
      </c>
      <c r="C388" s="8">
        <f t="shared" ref="C388:C400" si="37">+D388+E388+F388+G388+H388+I388+J388+K388+L388+M388+N388</f>
        <v>18560129.350000001</v>
      </c>
      <c r="D388" s="8">
        <f>2816000+5534005.35</f>
        <v>8350005.3499999996</v>
      </c>
      <c r="E388" s="9">
        <v>172440</v>
      </c>
      <c r="F388" s="8">
        <v>6917709</v>
      </c>
      <c r="G388" s="8">
        <v>983910</v>
      </c>
      <c r="H388" s="9">
        <v>358243</v>
      </c>
      <c r="I388" s="9">
        <v>0</v>
      </c>
      <c r="J388" s="9">
        <v>0</v>
      </c>
      <c r="K388" s="9">
        <v>230630</v>
      </c>
      <c r="L388" s="9">
        <v>1547192</v>
      </c>
      <c r="M388" s="9">
        <v>0</v>
      </c>
      <c r="N388" s="8"/>
    </row>
    <row r="389" spans="1:14" hidden="1" x14ac:dyDescent="0.3">
      <c r="A389" s="55" t="s">
        <v>70</v>
      </c>
      <c r="B389" s="8">
        <v>506340</v>
      </c>
      <c r="C389" s="8">
        <f t="shared" si="37"/>
        <v>550635</v>
      </c>
      <c r="D389" s="8">
        <v>367725</v>
      </c>
      <c r="E389" s="9">
        <v>0</v>
      </c>
      <c r="F389" s="8">
        <v>0</v>
      </c>
      <c r="G389" s="8">
        <v>0</v>
      </c>
      <c r="H389" s="9">
        <v>0</v>
      </c>
      <c r="I389" s="9">
        <v>0</v>
      </c>
      <c r="J389" s="9">
        <v>0</v>
      </c>
      <c r="K389" s="9">
        <v>0</v>
      </c>
      <c r="L389" s="9">
        <v>182910</v>
      </c>
      <c r="M389" s="9">
        <v>0</v>
      </c>
      <c r="N389" s="8"/>
    </row>
    <row r="390" spans="1:14" hidden="1" x14ac:dyDescent="0.3">
      <c r="A390" s="55" t="s">
        <v>71</v>
      </c>
      <c r="B390" s="8">
        <v>11097360</v>
      </c>
      <c r="C390" s="8">
        <f t="shared" si="37"/>
        <v>8662706</v>
      </c>
      <c r="D390" s="8">
        <v>2054984</v>
      </c>
      <c r="E390" s="9">
        <v>1222430</v>
      </c>
      <c r="F390" s="8">
        <v>1941670</v>
      </c>
      <c r="G390" s="8">
        <v>290932</v>
      </c>
      <c r="H390" s="9">
        <v>0</v>
      </c>
      <c r="I390" s="9">
        <v>1253890</v>
      </c>
      <c r="J390" s="9">
        <v>0</v>
      </c>
      <c r="K390" s="9">
        <v>125290</v>
      </c>
      <c r="L390" s="9">
        <v>1773510</v>
      </c>
      <c r="M390" s="9">
        <v>0</v>
      </c>
      <c r="N390" s="8"/>
    </row>
    <row r="391" spans="1:14" hidden="1" x14ac:dyDescent="0.3">
      <c r="A391" s="55" t="s">
        <v>72</v>
      </c>
      <c r="B391" s="56">
        <v>1381210</v>
      </c>
      <c r="C391" s="8">
        <f t="shared" si="37"/>
        <v>830716.75</v>
      </c>
      <c r="D391" s="8">
        <v>520260</v>
      </c>
      <c r="E391" s="9">
        <v>23450</v>
      </c>
      <c r="F391" s="8">
        <v>29500</v>
      </c>
      <c r="G391" s="8">
        <v>115055</v>
      </c>
      <c r="H391" s="9">
        <v>14671.75</v>
      </c>
      <c r="I391" s="9">
        <v>0</v>
      </c>
      <c r="J391" s="9">
        <v>0</v>
      </c>
      <c r="K391" s="9">
        <v>0</v>
      </c>
      <c r="L391" s="9">
        <v>127780</v>
      </c>
      <c r="M391" s="9">
        <v>0</v>
      </c>
      <c r="N391" s="8"/>
    </row>
    <row r="392" spans="1:14" hidden="1" x14ac:dyDescent="0.3">
      <c r="A392" s="52" t="s">
        <v>73</v>
      </c>
      <c r="B392" s="56">
        <v>17737160</v>
      </c>
      <c r="C392" s="8">
        <f t="shared" si="37"/>
        <v>12615308.4</v>
      </c>
      <c r="D392" s="8">
        <v>1191526.6000000001</v>
      </c>
      <c r="E392" s="9">
        <v>318718</v>
      </c>
      <c r="F392" s="8">
        <v>7254890</v>
      </c>
      <c r="G392" s="8">
        <v>237576</v>
      </c>
      <c r="H392" s="9">
        <v>0</v>
      </c>
      <c r="I392" s="9">
        <v>923100</v>
      </c>
      <c r="J392" s="9">
        <v>229718</v>
      </c>
      <c r="K392" s="9">
        <v>1695545</v>
      </c>
      <c r="L392" s="9">
        <v>667984.80000000005</v>
      </c>
      <c r="M392" s="9">
        <v>96250</v>
      </c>
      <c r="N392" s="8"/>
    </row>
    <row r="393" spans="1:14" hidden="1" x14ac:dyDescent="0.3">
      <c r="A393" s="52" t="s">
        <v>74</v>
      </c>
      <c r="B393" s="8">
        <v>6705420</v>
      </c>
      <c r="C393" s="8">
        <f t="shared" si="37"/>
        <v>4100820.2299999995</v>
      </c>
      <c r="D393" s="8">
        <v>975087.02</v>
      </c>
      <c r="E393" s="9">
        <v>72260</v>
      </c>
      <c r="F393" s="8">
        <v>1403042.41</v>
      </c>
      <c r="G393" s="8">
        <v>1620</v>
      </c>
      <c r="H393" s="9">
        <v>0</v>
      </c>
      <c r="I393" s="9">
        <v>430939.3</v>
      </c>
      <c r="J393" s="9">
        <v>0</v>
      </c>
      <c r="K393" s="9">
        <v>4960</v>
      </c>
      <c r="L393" s="9">
        <v>1156911.5</v>
      </c>
      <c r="M393" s="9">
        <v>56000</v>
      </c>
      <c r="N393" s="8"/>
    </row>
    <row r="394" spans="1:14" hidden="1" x14ac:dyDescent="0.3">
      <c r="A394" s="55" t="s">
        <v>75</v>
      </c>
      <c r="B394" s="8">
        <v>1165000</v>
      </c>
      <c r="C394" s="8">
        <f t="shared" si="37"/>
        <v>1017860.02</v>
      </c>
      <c r="D394" s="8">
        <v>848253.68</v>
      </c>
      <c r="E394" s="9">
        <v>0</v>
      </c>
      <c r="F394" s="9">
        <v>160371.22</v>
      </c>
      <c r="G394" s="8">
        <v>0</v>
      </c>
      <c r="H394" s="9">
        <v>0</v>
      </c>
      <c r="I394" s="9">
        <v>0</v>
      </c>
      <c r="J394" s="9">
        <v>0</v>
      </c>
      <c r="K394" s="9">
        <v>9235.1200000000008</v>
      </c>
      <c r="L394" s="9">
        <v>0</v>
      </c>
      <c r="M394" s="9">
        <v>0</v>
      </c>
      <c r="N394" s="8"/>
    </row>
    <row r="395" spans="1:14" hidden="1" x14ac:dyDescent="0.3">
      <c r="A395" s="55" t="s">
        <v>76</v>
      </c>
      <c r="B395" s="8">
        <v>3509100</v>
      </c>
      <c r="C395" s="8">
        <f t="shared" si="37"/>
        <v>3226889.07</v>
      </c>
      <c r="D395" s="10">
        <v>120000</v>
      </c>
      <c r="E395" s="9">
        <v>250000</v>
      </c>
      <c r="F395" s="8">
        <v>2087000</v>
      </c>
      <c r="G395" s="8">
        <v>0</v>
      </c>
      <c r="H395" s="9">
        <v>0</v>
      </c>
      <c r="I395" s="9">
        <v>282389.07</v>
      </c>
      <c r="J395" s="9">
        <v>307500</v>
      </c>
      <c r="K395" s="9">
        <v>180000</v>
      </c>
      <c r="L395" s="9">
        <v>0</v>
      </c>
      <c r="M395" s="9">
        <v>0</v>
      </c>
      <c r="N395" s="8"/>
    </row>
    <row r="396" spans="1:14" hidden="1" x14ac:dyDescent="0.3">
      <c r="A396" s="55" t="s">
        <v>77</v>
      </c>
      <c r="B396" s="8">
        <v>10000</v>
      </c>
      <c r="C396" s="8">
        <f t="shared" si="37"/>
        <v>0</v>
      </c>
      <c r="D396" s="8">
        <v>0</v>
      </c>
      <c r="E396" s="9">
        <v>0</v>
      </c>
      <c r="F396" s="8">
        <v>0</v>
      </c>
      <c r="G396" s="8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8"/>
    </row>
    <row r="397" spans="1:14" hidden="1" x14ac:dyDescent="0.3">
      <c r="A397" s="55" t="s">
        <v>78</v>
      </c>
      <c r="B397" s="8">
        <v>6803270</v>
      </c>
      <c r="C397" s="8">
        <f t="shared" si="37"/>
        <v>3811342.4</v>
      </c>
      <c r="D397" s="8">
        <v>0</v>
      </c>
      <c r="E397" s="9">
        <v>0</v>
      </c>
      <c r="F397" s="8">
        <v>0</v>
      </c>
      <c r="G397" s="8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8">
        <v>3811342.4</v>
      </c>
    </row>
    <row r="398" spans="1:14" hidden="1" x14ac:dyDescent="0.3">
      <c r="A398" s="55" t="s">
        <v>79</v>
      </c>
      <c r="B398" s="8">
        <v>2024000</v>
      </c>
      <c r="C398" s="8">
        <f t="shared" si="37"/>
        <v>835302.37000000011</v>
      </c>
      <c r="D398" s="8">
        <v>149642.42000000001</v>
      </c>
      <c r="E398" s="9">
        <v>181638</v>
      </c>
      <c r="F398" s="8">
        <v>9500</v>
      </c>
      <c r="G398" s="8">
        <v>17300</v>
      </c>
      <c r="H398" s="9">
        <v>0</v>
      </c>
      <c r="I398" s="9">
        <v>0</v>
      </c>
      <c r="J398" s="9">
        <v>0</v>
      </c>
      <c r="K398" s="9">
        <v>0</v>
      </c>
      <c r="L398" s="9">
        <v>477221.95</v>
      </c>
      <c r="M398" s="9">
        <v>0</v>
      </c>
      <c r="N398" s="8"/>
    </row>
    <row r="399" spans="1:14" hidden="1" x14ac:dyDescent="0.3">
      <c r="A399" s="60" t="s">
        <v>80</v>
      </c>
      <c r="B399" s="8">
        <v>7767100</v>
      </c>
      <c r="C399" s="8">
        <f t="shared" si="37"/>
        <v>902600</v>
      </c>
      <c r="D399" s="8">
        <v>0</v>
      </c>
      <c r="E399" s="9">
        <v>0</v>
      </c>
      <c r="F399" s="8">
        <v>0</v>
      </c>
      <c r="G399" s="8">
        <v>0</v>
      </c>
      <c r="H399" s="9">
        <v>0</v>
      </c>
      <c r="I399" s="9">
        <v>0</v>
      </c>
      <c r="J399" s="9">
        <v>0</v>
      </c>
      <c r="K399" s="9">
        <v>0</v>
      </c>
      <c r="L399" s="9">
        <v>902600</v>
      </c>
      <c r="M399" s="9">
        <v>0</v>
      </c>
      <c r="N399" s="8"/>
    </row>
    <row r="400" spans="1:14" hidden="1" x14ac:dyDescent="0.3">
      <c r="A400" s="60" t="s">
        <v>99</v>
      </c>
      <c r="B400" s="8"/>
      <c r="C400" s="8">
        <f t="shared" si="37"/>
        <v>0</v>
      </c>
      <c r="D400" s="8">
        <v>0</v>
      </c>
      <c r="E400" s="9">
        <v>0</v>
      </c>
      <c r="F400" s="8">
        <v>0</v>
      </c>
      <c r="G400" s="8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8"/>
    </row>
    <row r="401" spans="1:14" hidden="1" x14ac:dyDescent="0.3">
      <c r="A401" s="61" t="s">
        <v>81</v>
      </c>
      <c r="B401" s="14">
        <f>SUM(B388:B400)</f>
        <v>80000000</v>
      </c>
      <c r="C401" s="14">
        <f t="shared" ref="C401:N401" si="38">SUM(C388:C400)</f>
        <v>55114309.589999996</v>
      </c>
      <c r="D401" s="14">
        <f t="shared" si="38"/>
        <v>14577484.069999998</v>
      </c>
      <c r="E401" s="14">
        <f t="shared" si="38"/>
        <v>2240936</v>
      </c>
      <c r="F401" s="14">
        <f t="shared" si="38"/>
        <v>19803682.629999999</v>
      </c>
      <c r="G401" s="14">
        <f t="shared" si="38"/>
        <v>1646393</v>
      </c>
      <c r="H401" s="14">
        <f t="shared" si="38"/>
        <v>372914.75</v>
      </c>
      <c r="I401" s="14">
        <f t="shared" si="38"/>
        <v>2890318.3699999996</v>
      </c>
      <c r="J401" s="14">
        <f t="shared" si="38"/>
        <v>537218</v>
      </c>
      <c r="K401" s="14">
        <f t="shared" si="38"/>
        <v>2245660.12</v>
      </c>
      <c r="L401" s="14">
        <f t="shared" si="38"/>
        <v>6836110.25</v>
      </c>
      <c r="M401" s="14">
        <f t="shared" si="38"/>
        <v>152250</v>
      </c>
      <c r="N401" s="14">
        <f t="shared" si="38"/>
        <v>3811342.4</v>
      </c>
    </row>
    <row r="402" spans="1:14" hidden="1" x14ac:dyDescent="0.3">
      <c r="A402" s="55" t="s">
        <v>82</v>
      </c>
      <c r="B402" s="8"/>
      <c r="C402" s="8">
        <f>+D402+E402+F402+G402+H402+I402+J402+K402+L402+M402+N402</f>
        <v>0</v>
      </c>
      <c r="D402" s="8"/>
      <c r="E402" s="9"/>
      <c r="F402" s="8"/>
      <c r="G402" s="56"/>
      <c r="H402" s="9"/>
      <c r="I402" s="9"/>
      <c r="J402" s="9"/>
      <c r="K402" s="9"/>
      <c r="L402" s="9"/>
      <c r="M402" s="9"/>
      <c r="N402" s="8"/>
    </row>
    <row r="403" spans="1:14" hidden="1" x14ac:dyDescent="0.3">
      <c r="A403" s="55" t="s">
        <v>29</v>
      </c>
      <c r="B403" s="8"/>
      <c r="C403" s="8">
        <f>+D403+E403+F403+G403+H403+I403+J403+K403+L403+M403+N403</f>
        <v>0</v>
      </c>
      <c r="D403" s="8"/>
      <c r="E403" s="9"/>
      <c r="F403" s="8"/>
      <c r="G403" s="56"/>
      <c r="H403" s="9"/>
      <c r="I403" s="9"/>
      <c r="J403" s="9"/>
      <c r="K403" s="9"/>
      <c r="L403" s="9"/>
      <c r="M403" s="9"/>
      <c r="N403" s="8"/>
    </row>
    <row r="404" spans="1:14" ht="19.5" hidden="1" thickBot="1" x14ac:dyDescent="0.35">
      <c r="A404" s="48" t="s">
        <v>83</v>
      </c>
      <c r="B404" s="62">
        <f>+B401</f>
        <v>80000000</v>
      </c>
      <c r="C404" s="62">
        <f t="shared" ref="C404:N404" si="39">+C401+C402+C403</f>
        <v>55114309.589999996</v>
      </c>
      <c r="D404" s="62">
        <f t="shared" si="39"/>
        <v>14577484.069999998</v>
      </c>
      <c r="E404" s="62">
        <f t="shared" si="39"/>
        <v>2240936</v>
      </c>
      <c r="F404" s="62">
        <f t="shared" si="39"/>
        <v>19803682.629999999</v>
      </c>
      <c r="G404" s="62">
        <f t="shared" si="39"/>
        <v>1646393</v>
      </c>
      <c r="H404" s="62">
        <f t="shared" si="39"/>
        <v>372914.75</v>
      </c>
      <c r="I404" s="62">
        <f t="shared" si="39"/>
        <v>2890318.3699999996</v>
      </c>
      <c r="J404" s="62">
        <f t="shared" si="39"/>
        <v>537218</v>
      </c>
      <c r="K404" s="62">
        <f t="shared" si="39"/>
        <v>2245660.12</v>
      </c>
      <c r="L404" s="62">
        <f t="shared" si="39"/>
        <v>6836110.25</v>
      </c>
      <c r="M404" s="62">
        <f t="shared" si="39"/>
        <v>152250</v>
      </c>
      <c r="N404" s="62">
        <f t="shared" si="39"/>
        <v>3811342.4</v>
      </c>
    </row>
    <row r="405" spans="1:14" ht="19.5" hidden="1" thickTop="1" x14ac:dyDescent="0.3">
      <c r="A405" s="48" t="s">
        <v>38</v>
      </c>
      <c r="B405" s="63"/>
      <c r="C405" s="8"/>
      <c r="D405" s="8"/>
      <c r="E405" s="8"/>
      <c r="F405" s="8"/>
      <c r="G405" s="56"/>
      <c r="H405" s="8"/>
      <c r="I405" s="8"/>
      <c r="J405" s="8"/>
      <c r="K405" s="8"/>
      <c r="L405" s="8"/>
      <c r="M405" s="64"/>
      <c r="N405" s="8"/>
    </row>
    <row r="406" spans="1:14" hidden="1" x14ac:dyDescent="0.3">
      <c r="A406" s="55" t="s">
        <v>84</v>
      </c>
      <c r="B406" s="8">
        <v>1110000</v>
      </c>
      <c r="C406" s="8">
        <v>1286136.3700000001</v>
      </c>
      <c r="D406" s="8"/>
      <c r="E406" s="8"/>
      <c r="F406" s="8"/>
      <c r="G406" s="56"/>
      <c r="H406" s="8"/>
      <c r="I406" s="8"/>
      <c r="J406" s="8"/>
      <c r="K406" s="8"/>
      <c r="L406" s="8"/>
      <c r="M406" s="64"/>
      <c r="N406" s="8"/>
    </row>
    <row r="407" spans="1:14" hidden="1" x14ac:dyDescent="0.3">
      <c r="A407" s="55" t="s">
        <v>85</v>
      </c>
      <c r="B407" s="8">
        <v>594000</v>
      </c>
      <c r="C407" s="8">
        <v>1215310.69</v>
      </c>
      <c r="D407" s="8"/>
      <c r="E407" s="8"/>
      <c r="F407" s="8"/>
      <c r="G407" s="56"/>
      <c r="H407" s="8"/>
      <c r="I407" s="8"/>
      <c r="J407" s="8"/>
      <c r="K407" s="8"/>
      <c r="L407" s="8"/>
      <c r="M407" s="64"/>
      <c r="N407" s="8"/>
    </row>
    <row r="408" spans="1:14" hidden="1" x14ac:dyDescent="0.3">
      <c r="A408" s="55" t="s">
        <v>86</v>
      </c>
      <c r="B408" s="8">
        <v>1320000</v>
      </c>
      <c r="C408" s="8">
        <v>939755.65</v>
      </c>
      <c r="D408" s="8"/>
      <c r="E408" s="8"/>
      <c r="F408" s="8"/>
      <c r="G408" s="56"/>
      <c r="H408" s="8"/>
      <c r="I408" s="8"/>
      <c r="J408" s="8"/>
      <c r="K408" s="8"/>
      <c r="L408" s="8"/>
      <c r="M408" s="64"/>
      <c r="N408" s="8"/>
    </row>
    <row r="409" spans="1:14" hidden="1" x14ac:dyDescent="0.3">
      <c r="A409" s="55" t="s">
        <v>87</v>
      </c>
      <c r="B409" s="8">
        <v>116000</v>
      </c>
      <c r="C409" s="8">
        <v>305728</v>
      </c>
      <c r="D409" s="8"/>
      <c r="E409" s="8"/>
      <c r="F409" s="8"/>
      <c r="G409" s="56"/>
      <c r="H409" s="8"/>
      <c r="I409" s="8"/>
      <c r="J409" s="8"/>
      <c r="K409" s="8"/>
      <c r="L409" s="8"/>
      <c r="M409" s="64"/>
      <c r="N409" s="8"/>
    </row>
    <row r="410" spans="1:14" hidden="1" x14ac:dyDescent="0.3">
      <c r="A410" s="55" t="s">
        <v>88</v>
      </c>
      <c r="B410" s="8">
        <v>41360000</v>
      </c>
      <c r="C410" s="8">
        <v>46401132.289999999</v>
      </c>
      <c r="D410" s="8"/>
      <c r="E410" s="65"/>
      <c r="F410" s="8"/>
      <c r="G410" s="56"/>
      <c r="H410" s="8"/>
      <c r="I410" s="8"/>
      <c r="J410" s="8"/>
      <c r="K410" s="8"/>
      <c r="L410" s="8"/>
      <c r="M410" s="64"/>
      <c r="N410" s="8"/>
    </row>
    <row r="411" spans="1:14" hidden="1" x14ac:dyDescent="0.3">
      <c r="A411" s="55" t="s">
        <v>89</v>
      </c>
      <c r="B411" s="8">
        <v>35500000</v>
      </c>
      <c r="C411" s="8">
        <v>32573971</v>
      </c>
      <c r="D411" s="8"/>
      <c r="E411" s="65"/>
      <c r="F411" s="8"/>
      <c r="G411" s="56"/>
      <c r="H411" s="8"/>
      <c r="I411" s="8"/>
      <c r="J411" s="8"/>
      <c r="K411" s="8"/>
      <c r="L411" s="8"/>
      <c r="M411" s="64"/>
      <c r="N411" s="8"/>
    </row>
    <row r="412" spans="1:14" hidden="1" x14ac:dyDescent="0.3">
      <c r="A412" s="55" t="s">
        <v>90</v>
      </c>
      <c r="B412" s="8">
        <v>0</v>
      </c>
      <c r="C412" s="8"/>
      <c r="D412" s="8"/>
      <c r="E412" s="65"/>
      <c r="F412" s="8"/>
      <c r="G412" s="56"/>
      <c r="H412" s="8"/>
      <c r="I412" s="8"/>
      <c r="J412" s="8"/>
      <c r="K412" s="8"/>
      <c r="L412" s="8"/>
      <c r="M412" s="64"/>
      <c r="N412" s="8"/>
    </row>
    <row r="413" spans="1:14" hidden="1" x14ac:dyDescent="0.3">
      <c r="A413" s="55" t="s">
        <v>91</v>
      </c>
      <c r="B413" s="8">
        <v>0</v>
      </c>
      <c r="C413" s="8"/>
      <c r="D413" s="8"/>
      <c r="E413" s="8"/>
      <c r="F413" s="8"/>
      <c r="G413" s="56"/>
      <c r="H413" s="8"/>
      <c r="I413" s="8"/>
      <c r="J413" s="8"/>
      <c r="K413" s="8"/>
      <c r="L413" s="8"/>
      <c r="M413" s="64"/>
      <c r="N413" s="8"/>
    </row>
    <row r="414" spans="1:14" hidden="1" x14ac:dyDescent="0.3">
      <c r="A414" s="55" t="s">
        <v>100</v>
      </c>
      <c r="B414" s="8"/>
      <c r="C414" s="8"/>
      <c r="D414" s="8"/>
      <c r="E414" s="8"/>
      <c r="F414" s="8"/>
      <c r="G414" s="56"/>
      <c r="H414" s="8"/>
      <c r="I414" s="8"/>
      <c r="J414" s="8"/>
      <c r="K414" s="8"/>
      <c r="L414" s="8"/>
      <c r="M414" s="64"/>
      <c r="N414" s="8"/>
    </row>
    <row r="415" spans="1:14" ht="19.5" hidden="1" thickBot="1" x14ac:dyDescent="0.35">
      <c r="A415" s="66" t="s">
        <v>92</v>
      </c>
      <c r="B415" s="62">
        <f>SUM(B406:B414)</f>
        <v>80000000</v>
      </c>
      <c r="C415" s="62">
        <f t="shared" ref="C415:N415" si="40">SUM(C406:C414)</f>
        <v>82722034</v>
      </c>
      <c r="D415" s="62">
        <f t="shared" si="40"/>
        <v>0</v>
      </c>
      <c r="E415" s="62">
        <f t="shared" si="40"/>
        <v>0</v>
      </c>
      <c r="F415" s="62">
        <f t="shared" si="40"/>
        <v>0</v>
      </c>
      <c r="G415" s="62">
        <f t="shared" si="40"/>
        <v>0</v>
      </c>
      <c r="H415" s="62">
        <f t="shared" si="40"/>
        <v>0</v>
      </c>
      <c r="I415" s="62">
        <f t="shared" si="40"/>
        <v>0</v>
      </c>
      <c r="J415" s="62">
        <f t="shared" si="40"/>
        <v>0</v>
      </c>
      <c r="K415" s="62">
        <f t="shared" si="40"/>
        <v>0</v>
      </c>
      <c r="L415" s="62">
        <f t="shared" si="40"/>
        <v>0</v>
      </c>
      <c r="M415" s="62">
        <f t="shared" si="40"/>
        <v>0</v>
      </c>
      <c r="N415" s="62">
        <f t="shared" si="40"/>
        <v>0</v>
      </c>
    </row>
    <row r="416" spans="1:14" ht="20.25" hidden="1" thickTop="1" thickBot="1" x14ac:dyDescent="0.35">
      <c r="A416" s="70" t="s">
        <v>93</v>
      </c>
      <c r="B416" s="71"/>
      <c r="C416" s="72">
        <f>+C415-C404</f>
        <v>27607724.410000004</v>
      </c>
      <c r="D416" s="73"/>
      <c r="E416" s="74"/>
      <c r="F416" s="74"/>
      <c r="G416" s="75"/>
      <c r="H416" s="74"/>
      <c r="I416" s="74"/>
      <c r="J416" s="74"/>
      <c r="K416" s="74"/>
      <c r="L416" s="74"/>
      <c r="M416" s="76"/>
      <c r="N416" s="74"/>
    </row>
    <row r="417" spans="1:14" ht="19.5" hidden="1" thickTop="1" x14ac:dyDescent="0.3">
      <c r="A417" s="70"/>
      <c r="B417" s="77"/>
      <c r="C417" s="74"/>
      <c r="D417" s="74"/>
      <c r="E417" s="74"/>
      <c r="F417" s="74"/>
      <c r="G417" s="75"/>
      <c r="H417" s="74"/>
      <c r="I417" s="74"/>
      <c r="J417" s="74"/>
      <c r="K417" s="74"/>
      <c r="L417" s="74"/>
      <c r="M417" s="76"/>
      <c r="N417" s="74"/>
    </row>
    <row r="418" spans="1:14" hidden="1" x14ac:dyDescent="0.3">
      <c r="A418" s="70"/>
      <c r="B418" s="77"/>
      <c r="C418" s="74"/>
      <c r="D418" s="74"/>
      <c r="E418" s="74"/>
      <c r="F418" s="74"/>
      <c r="G418" s="75"/>
      <c r="H418" s="74"/>
      <c r="I418" s="74"/>
      <c r="J418" s="74"/>
      <c r="K418" s="74"/>
      <c r="L418" s="74"/>
      <c r="M418" s="76"/>
      <c r="N418" s="74"/>
    </row>
    <row r="419" spans="1:14" x14ac:dyDescent="0.3">
      <c r="A419" s="83" t="s">
        <v>48</v>
      </c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</row>
    <row r="420" spans="1:14" x14ac:dyDescent="0.3">
      <c r="A420" s="83" t="s">
        <v>1</v>
      </c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</row>
    <row r="421" spans="1:14" x14ac:dyDescent="0.3">
      <c r="A421" s="84" t="s">
        <v>106</v>
      </c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</row>
    <row r="422" spans="1:14" x14ac:dyDescent="0.3">
      <c r="A422" s="33" t="s">
        <v>50</v>
      </c>
      <c r="B422" s="33" t="s">
        <v>50</v>
      </c>
      <c r="C422" s="33" t="s">
        <v>50</v>
      </c>
      <c r="D422" s="33" t="s">
        <v>51</v>
      </c>
      <c r="E422" s="34" t="s">
        <v>52</v>
      </c>
      <c r="F422" s="33"/>
      <c r="G422" s="35"/>
      <c r="H422" s="34" t="s">
        <v>53</v>
      </c>
      <c r="I422" s="34" t="s">
        <v>54</v>
      </c>
      <c r="J422" s="34" t="s">
        <v>55</v>
      </c>
      <c r="K422" s="34" t="s">
        <v>56</v>
      </c>
      <c r="L422" s="34" t="s">
        <v>57</v>
      </c>
      <c r="M422" s="34"/>
      <c r="N422" s="36"/>
    </row>
    <row r="423" spans="1:14" x14ac:dyDescent="0.3">
      <c r="A423" s="40"/>
      <c r="B423" s="41" t="s">
        <v>4</v>
      </c>
      <c r="C423" s="41" t="s">
        <v>5</v>
      </c>
      <c r="D423" s="41" t="s">
        <v>58</v>
      </c>
      <c r="E423" s="42" t="s">
        <v>59</v>
      </c>
      <c r="F423" s="41" t="s">
        <v>8</v>
      </c>
      <c r="G423" s="43" t="s">
        <v>9</v>
      </c>
      <c r="H423" s="42" t="s">
        <v>60</v>
      </c>
      <c r="I423" s="42" t="s">
        <v>61</v>
      </c>
      <c r="J423" s="42" t="s">
        <v>62</v>
      </c>
      <c r="K423" s="42" t="s">
        <v>63</v>
      </c>
      <c r="L423" s="42" t="s">
        <v>64</v>
      </c>
      <c r="M423" s="42" t="s">
        <v>15</v>
      </c>
      <c r="N423" s="41" t="s">
        <v>16</v>
      </c>
    </row>
    <row r="424" spans="1:14" x14ac:dyDescent="0.3">
      <c r="A424" s="44"/>
      <c r="B424" s="44"/>
      <c r="C424" s="44"/>
      <c r="D424" s="44"/>
      <c r="E424" s="45" t="s">
        <v>65</v>
      </c>
      <c r="F424" s="44"/>
      <c r="G424" s="46"/>
      <c r="H424" s="45"/>
      <c r="I424" s="45"/>
      <c r="J424" s="45" t="s">
        <v>66</v>
      </c>
      <c r="K424" s="45" t="s">
        <v>67</v>
      </c>
      <c r="L424" s="45" t="s">
        <v>68</v>
      </c>
      <c r="M424" s="45"/>
      <c r="N424" s="47"/>
    </row>
    <row r="425" spans="1:14" x14ac:dyDescent="0.3">
      <c r="A425" s="78" t="s">
        <v>17</v>
      </c>
      <c r="B425" s="49"/>
      <c r="C425" s="50"/>
      <c r="D425" s="50" t="s">
        <v>50</v>
      </c>
      <c r="E425" s="51"/>
      <c r="F425" s="50"/>
      <c r="G425" s="52"/>
      <c r="H425" s="53"/>
      <c r="I425" s="53"/>
      <c r="J425" s="53"/>
      <c r="K425" s="53"/>
      <c r="L425" s="53"/>
      <c r="M425" s="54"/>
      <c r="N425" s="55"/>
    </row>
    <row r="426" spans="1:14" x14ac:dyDescent="0.3">
      <c r="A426" s="60" t="s">
        <v>16</v>
      </c>
      <c r="B426" s="8">
        <v>5906370</v>
      </c>
      <c r="C426" s="8">
        <f>+D426+E426+F426+G426+H426+I426+J426+K426+L426+M426+N426</f>
        <v>5168064.4800000004</v>
      </c>
      <c r="D426" s="8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8">
        <v>5168064.4800000004</v>
      </c>
    </row>
    <row r="427" spans="1:14" x14ac:dyDescent="0.3">
      <c r="A427" s="60" t="s">
        <v>107</v>
      </c>
      <c r="B427" s="8">
        <v>3072000</v>
      </c>
      <c r="C427" s="8">
        <f t="shared" ref="C427:C436" si="41">+D427+E427+F427+G427+H427+I427+J427+K427+L427+M427+N427</f>
        <v>3072000</v>
      </c>
      <c r="D427" s="8">
        <v>3072000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8"/>
    </row>
    <row r="428" spans="1:14" x14ac:dyDescent="0.3">
      <c r="A428" s="60" t="s">
        <v>108</v>
      </c>
      <c r="B428" s="8">
        <f>8760720+1533270+380040+3855120+1372900+1377560+10275480+466400</f>
        <v>28021490</v>
      </c>
      <c r="C428" s="8">
        <f t="shared" si="41"/>
        <v>27485357.350000001</v>
      </c>
      <c r="D428" s="8">
        <v>8690676.3499999996</v>
      </c>
      <c r="E428" s="9">
        <v>1530340</v>
      </c>
      <c r="F428" s="8">
        <v>9893664</v>
      </c>
      <c r="G428" s="8">
        <v>1377302</v>
      </c>
      <c r="H428" s="9">
        <v>379023</v>
      </c>
      <c r="I428" s="9">
        <v>1372880</v>
      </c>
      <c r="J428" s="9">
        <v>0</v>
      </c>
      <c r="K428" s="9">
        <v>389000</v>
      </c>
      <c r="L428" s="9">
        <v>3852472</v>
      </c>
      <c r="M428" s="9">
        <v>0</v>
      </c>
      <c r="N428" s="8"/>
    </row>
    <row r="429" spans="1:14" x14ac:dyDescent="0.3">
      <c r="A429" s="60" t="s">
        <v>21</v>
      </c>
      <c r="B429" s="56">
        <f>1825990+25400+22220+151400+125100+79500</f>
        <v>2229610</v>
      </c>
      <c r="C429" s="8">
        <f t="shared" si="41"/>
        <v>2142866.75</v>
      </c>
      <c r="D429" s="8">
        <v>1794160</v>
      </c>
      <c r="E429" s="9">
        <v>25400</v>
      </c>
      <c r="F429" s="8">
        <v>32500</v>
      </c>
      <c r="G429" s="8">
        <v>123515</v>
      </c>
      <c r="H429" s="9">
        <v>16171.75</v>
      </c>
      <c r="I429" s="9">
        <v>0</v>
      </c>
      <c r="J429" s="9">
        <v>0</v>
      </c>
      <c r="K429" s="9">
        <v>0</v>
      </c>
      <c r="L429" s="9">
        <v>151120</v>
      </c>
      <c r="M429" s="9">
        <v>0</v>
      </c>
      <c r="N429" s="8"/>
    </row>
    <row r="430" spans="1:14" x14ac:dyDescent="0.3">
      <c r="A430" s="79" t="s">
        <v>22</v>
      </c>
      <c r="B430" s="56">
        <f>1586200+495800+113240+394600+1153000+1083000+315900+10182920+1983000</f>
        <v>17307660</v>
      </c>
      <c r="C430" s="8">
        <f t="shared" si="41"/>
        <v>14808530.390000001</v>
      </c>
      <c r="D430" s="8">
        <v>1391406.46</v>
      </c>
      <c r="E430" s="9">
        <v>446742</v>
      </c>
      <c r="F430" s="8">
        <v>8182864</v>
      </c>
      <c r="G430" s="8">
        <v>300188.96999999997</v>
      </c>
      <c r="H430" s="9">
        <v>0</v>
      </c>
      <c r="I430" s="9">
        <v>1066464</v>
      </c>
      <c r="J430" s="9">
        <v>349842</v>
      </c>
      <c r="K430" s="9">
        <v>1840695</v>
      </c>
      <c r="L430" s="9">
        <v>1117627.96</v>
      </c>
      <c r="M430" s="9">
        <v>112700</v>
      </c>
      <c r="N430" s="8"/>
    </row>
    <row r="431" spans="1:14" x14ac:dyDescent="0.3">
      <c r="A431" s="79" t="s">
        <v>23</v>
      </c>
      <c r="B431" s="8">
        <f>1545200+146900+60000+1914850+916850+3000+2104920+5000</f>
        <v>6696720</v>
      </c>
      <c r="C431" s="8">
        <f t="shared" si="41"/>
        <v>6215432.8399999999</v>
      </c>
      <c r="D431" s="8">
        <v>1432924.33</v>
      </c>
      <c r="E431" s="9">
        <v>121660</v>
      </c>
      <c r="F431" s="8">
        <v>1913258.81</v>
      </c>
      <c r="G431" s="8">
        <v>2605</v>
      </c>
      <c r="H431" s="9">
        <v>0</v>
      </c>
      <c r="I431" s="9">
        <v>862317.2</v>
      </c>
      <c r="J431" s="9">
        <v>0</v>
      </c>
      <c r="K431" s="9">
        <v>4960</v>
      </c>
      <c r="L431" s="9">
        <v>1820967.5</v>
      </c>
      <c r="M431" s="9">
        <v>56740</v>
      </c>
      <c r="N431" s="8"/>
    </row>
    <row r="432" spans="1:14" x14ac:dyDescent="0.3">
      <c r="A432" s="60" t="s">
        <v>24</v>
      </c>
      <c r="B432" s="8">
        <f>15000+236000+942000</f>
        <v>1193000</v>
      </c>
      <c r="C432" s="8">
        <f t="shared" si="41"/>
        <v>1128066.7599999998</v>
      </c>
      <c r="D432" s="8">
        <v>941570.58</v>
      </c>
      <c r="E432" s="9">
        <v>0</v>
      </c>
      <c r="F432" s="9">
        <v>176619.49</v>
      </c>
      <c r="G432" s="8">
        <v>0</v>
      </c>
      <c r="H432" s="9">
        <v>0</v>
      </c>
      <c r="I432" s="9">
        <v>0</v>
      </c>
      <c r="J432" s="9">
        <v>0</v>
      </c>
      <c r="K432" s="9">
        <v>9876.69</v>
      </c>
      <c r="L432" s="9">
        <v>0</v>
      </c>
      <c r="M432" s="9">
        <v>0</v>
      </c>
      <c r="N432" s="8"/>
    </row>
    <row r="433" spans="1:14" x14ac:dyDescent="0.3">
      <c r="A433" s="60" t="s">
        <v>27</v>
      </c>
      <c r="B433" s="8">
        <f>1312850+208478+820522+79500+97500</f>
        <v>2518850</v>
      </c>
      <c r="C433" s="8">
        <f t="shared" si="41"/>
        <v>2290206.6399999997</v>
      </c>
      <c r="D433" s="8">
        <v>1222492.42</v>
      </c>
      <c r="E433" s="9">
        <v>204638</v>
      </c>
      <c r="F433" s="8">
        <v>74394.27</v>
      </c>
      <c r="G433" s="8">
        <v>28180</v>
      </c>
      <c r="H433" s="9">
        <v>0</v>
      </c>
      <c r="I433" s="9">
        <v>0</v>
      </c>
      <c r="J433" s="9">
        <v>0</v>
      </c>
      <c r="K433" s="9">
        <v>0</v>
      </c>
      <c r="L433" s="9">
        <v>760501.95</v>
      </c>
      <c r="M433" s="9">
        <v>0</v>
      </c>
      <c r="N433" s="8"/>
    </row>
    <row r="434" spans="1:14" x14ac:dyDescent="0.3">
      <c r="A434" s="60" t="s">
        <v>109</v>
      </c>
      <c r="B434" s="8">
        <f>600000+8664200+300000</f>
        <v>9564200</v>
      </c>
      <c r="C434" s="8">
        <f t="shared" si="41"/>
        <v>9166469</v>
      </c>
      <c r="D434" s="8">
        <v>0</v>
      </c>
      <c r="E434" s="9">
        <v>0</v>
      </c>
      <c r="F434" s="8">
        <v>583900</v>
      </c>
      <c r="G434" s="8">
        <v>0</v>
      </c>
      <c r="H434" s="9">
        <v>0</v>
      </c>
      <c r="I434" s="9">
        <v>0</v>
      </c>
      <c r="J434" s="9">
        <v>0</v>
      </c>
      <c r="K434" s="9">
        <v>0</v>
      </c>
      <c r="L434" s="9">
        <f>8582569</f>
        <v>8582569</v>
      </c>
      <c r="M434" s="9">
        <v>0</v>
      </c>
      <c r="N434" s="8"/>
    </row>
    <row r="435" spans="1:14" x14ac:dyDescent="0.3">
      <c r="A435" s="60" t="s">
        <v>26</v>
      </c>
      <c r="B435" s="8">
        <v>11000</v>
      </c>
      <c r="C435" s="8">
        <f t="shared" si="41"/>
        <v>11000</v>
      </c>
      <c r="D435" s="8">
        <v>11000</v>
      </c>
      <c r="E435" s="9">
        <v>0</v>
      </c>
      <c r="F435" s="8">
        <v>0</v>
      </c>
      <c r="G435" s="8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8"/>
    </row>
    <row r="436" spans="1:14" x14ac:dyDescent="0.3">
      <c r="A436" s="60" t="s">
        <v>25</v>
      </c>
      <c r="B436" s="8">
        <f>130000+250000+480000+290100+2109000+220000</f>
        <v>3479100</v>
      </c>
      <c r="C436" s="8">
        <f t="shared" si="41"/>
        <v>3266889.07</v>
      </c>
      <c r="D436" s="10">
        <v>120000</v>
      </c>
      <c r="E436" s="9">
        <v>250000</v>
      </c>
      <c r="F436" s="8">
        <v>2087000</v>
      </c>
      <c r="G436" s="8">
        <v>0</v>
      </c>
      <c r="H436" s="9">
        <v>0</v>
      </c>
      <c r="I436" s="9">
        <v>282389.07</v>
      </c>
      <c r="J436" s="9">
        <v>307500</v>
      </c>
      <c r="K436" s="9">
        <v>220000</v>
      </c>
      <c r="L436" s="9">
        <v>0</v>
      </c>
      <c r="M436" s="9">
        <v>0</v>
      </c>
      <c r="N436" s="8"/>
    </row>
    <row r="437" spans="1:14" x14ac:dyDescent="0.3">
      <c r="A437" s="60"/>
      <c r="B437" s="8"/>
      <c r="C437" s="8"/>
      <c r="D437" s="8"/>
      <c r="E437" s="9"/>
      <c r="F437" s="8"/>
      <c r="G437" s="8"/>
      <c r="H437" s="9"/>
      <c r="I437" s="9"/>
      <c r="J437" s="9"/>
      <c r="K437" s="9"/>
      <c r="L437" s="9"/>
      <c r="M437" s="9"/>
      <c r="N437" s="8"/>
    </row>
    <row r="438" spans="1:14" ht="19.5" thickBot="1" x14ac:dyDescent="0.35">
      <c r="A438" s="61" t="s">
        <v>81</v>
      </c>
      <c r="B438" s="62">
        <f>SUM(B426:B437)</f>
        <v>80000000</v>
      </c>
      <c r="C438" s="62">
        <f t="shared" ref="C438:N438" si="42">SUM(C426:C437)</f>
        <v>74754883.280000001</v>
      </c>
      <c r="D438" s="62">
        <f t="shared" si="42"/>
        <v>18676230.140000001</v>
      </c>
      <c r="E438" s="62">
        <f t="shared" si="42"/>
        <v>2578780</v>
      </c>
      <c r="F438" s="62">
        <f t="shared" si="42"/>
        <v>22944200.569999997</v>
      </c>
      <c r="G438" s="62">
        <f t="shared" si="42"/>
        <v>1831790.97</v>
      </c>
      <c r="H438" s="62">
        <f t="shared" si="42"/>
        <v>395194.75</v>
      </c>
      <c r="I438" s="62">
        <f t="shared" si="42"/>
        <v>3584050.27</v>
      </c>
      <c r="J438" s="62">
        <f t="shared" si="42"/>
        <v>657342</v>
      </c>
      <c r="K438" s="62">
        <f t="shared" si="42"/>
        <v>2464531.69</v>
      </c>
      <c r="L438" s="62">
        <f t="shared" si="42"/>
        <v>16285258.41</v>
      </c>
      <c r="M438" s="62">
        <f t="shared" si="42"/>
        <v>169440</v>
      </c>
      <c r="N438" s="62">
        <f t="shared" si="42"/>
        <v>5168064.4800000004</v>
      </c>
    </row>
    <row r="439" spans="1:14" ht="19.5" thickTop="1" x14ac:dyDescent="0.3">
      <c r="A439" s="78" t="s">
        <v>38</v>
      </c>
      <c r="B439" s="63"/>
      <c r="C439" s="8"/>
      <c r="D439" s="8"/>
      <c r="E439" s="8"/>
      <c r="F439" s="8"/>
      <c r="G439" s="56"/>
      <c r="H439" s="8"/>
      <c r="I439" s="8"/>
      <c r="J439" s="8"/>
      <c r="K439" s="8"/>
      <c r="L439" s="8"/>
      <c r="M439" s="64"/>
      <c r="N439" s="8"/>
    </row>
    <row r="440" spans="1:14" x14ac:dyDescent="0.3">
      <c r="A440" s="55" t="s">
        <v>110</v>
      </c>
      <c r="B440" s="8">
        <v>1110000</v>
      </c>
      <c r="C440" s="8">
        <v>1286187.67</v>
      </c>
      <c r="D440" s="8"/>
      <c r="E440" s="8"/>
      <c r="F440" s="8"/>
      <c r="G440" s="56"/>
      <c r="H440" s="8"/>
      <c r="I440" s="8"/>
      <c r="J440" s="8"/>
      <c r="K440" s="8"/>
      <c r="L440" s="8"/>
      <c r="M440" s="64"/>
      <c r="N440" s="8"/>
    </row>
    <row r="441" spans="1:14" x14ac:dyDescent="0.3">
      <c r="A441" s="55" t="s">
        <v>111</v>
      </c>
      <c r="B441" s="8">
        <v>594000</v>
      </c>
      <c r="C441" s="8">
        <v>1405769.59</v>
      </c>
      <c r="D441" s="8"/>
      <c r="E441" s="8"/>
      <c r="F441" s="8"/>
      <c r="G441" s="56"/>
      <c r="H441" s="8"/>
      <c r="I441" s="8"/>
      <c r="J441" s="8"/>
      <c r="K441" s="8"/>
      <c r="L441" s="8"/>
      <c r="M441" s="64"/>
      <c r="N441" s="8"/>
    </row>
    <row r="442" spans="1:14" x14ac:dyDescent="0.3">
      <c r="A442" s="55" t="s">
        <v>112</v>
      </c>
      <c r="B442" s="8">
        <v>1320000</v>
      </c>
      <c r="C442" s="8">
        <v>961781.76000000001</v>
      </c>
      <c r="D442" s="8"/>
      <c r="E442" s="8"/>
      <c r="F442" s="8"/>
      <c r="G442" s="56"/>
      <c r="H442" s="8"/>
      <c r="I442" s="8"/>
      <c r="J442" s="8"/>
      <c r="K442" s="8"/>
      <c r="L442" s="8"/>
      <c r="M442" s="64"/>
      <c r="N442" s="8"/>
    </row>
    <row r="443" spans="1:14" x14ac:dyDescent="0.3">
      <c r="A443" s="55" t="s">
        <v>113</v>
      </c>
      <c r="B443" s="8">
        <v>0</v>
      </c>
      <c r="C443" s="8"/>
      <c r="D443" s="8"/>
      <c r="E443" s="8"/>
      <c r="F443" s="8"/>
      <c r="G443" s="56"/>
      <c r="H443" s="8"/>
      <c r="I443" s="8"/>
      <c r="J443" s="8"/>
      <c r="K443" s="8"/>
      <c r="L443" s="8"/>
      <c r="M443" s="64"/>
      <c r="N443" s="8"/>
    </row>
    <row r="444" spans="1:14" x14ac:dyDescent="0.3">
      <c r="A444" s="55" t="s">
        <v>114</v>
      </c>
      <c r="B444" s="8">
        <v>116000</v>
      </c>
      <c r="C444" s="8">
        <v>340798</v>
      </c>
      <c r="D444" s="8"/>
      <c r="E444" s="8"/>
      <c r="F444" s="8"/>
      <c r="G444" s="56"/>
      <c r="H444" s="8"/>
      <c r="I444" s="8"/>
      <c r="J444" s="8"/>
      <c r="K444" s="8"/>
      <c r="L444" s="8"/>
      <c r="M444" s="64"/>
      <c r="N444" s="8"/>
    </row>
    <row r="445" spans="1:14" x14ac:dyDescent="0.3">
      <c r="A445" s="55" t="s">
        <v>115</v>
      </c>
      <c r="B445" s="8">
        <v>0</v>
      </c>
      <c r="C445" s="8"/>
      <c r="D445" s="8"/>
      <c r="E445" s="8"/>
      <c r="F445" s="8"/>
      <c r="G445" s="56"/>
      <c r="H445" s="8"/>
      <c r="I445" s="8"/>
      <c r="J445" s="8"/>
      <c r="K445" s="8"/>
      <c r="L445" s="8"/>
      <c r="M445" s="64"/>
      <c r="N445" s="8"/>
    </row>
    <row r="446" spans="1:14" x14ac:dyDescent="0.3">
      <c r="A446" s="55" t="s">
        <v>116</v>
      </c>
      <c r="B446" s="8">
        <v>41360000</v>
      </c>
      <c r="C446" s="8">
        <v>50528064.869999997</v>
      </c>
      <c r="D446" s="8"/>
      <c r="E446" s="8"/>
      <c r="F446" s="8"/>
      <c r="G446" s="56"/>
      <c r="H446" s="8"/>
      <c r="I446" s="8"/>
      <c r="J446" s="8"/>
      <c r="K446" s="8"/>
      <c r="L446" s="8"/>
      <c r="M446" s="64"/>
      <c r="N446" s="8"/>
    </row>
    <row r="447" spans="1:14" x14ac:dyDescent="0.3">
      <c r="A447" s="55" t="s">
        <v>117</v>
      </c>
      <c r="B447" s="8">
        <v>35500000</v>
      </c>
      <c r="C447" s="8">
        <f>32573971</f>
        <v>32573971</v>
      </c>
      <c r="D447" s="8"/>
      <c r="E447" s="65"/>
      <c r="F447" s="8"/>
      <c r="G447" s="56"/>
      <c r="H447" s="8"/>
      <c r="I447" s="8"/>
      <c r="J447" s="8"/>
      <c r="K447" s="8"/>
      <c r="L447" s="8"/>
      <c r="M447" s="64"/>
      <c r="N447" s="8"/>
    </row>
    <row r="448" spans="1:14" x14ac:dyDescent="0.3">
      <c r="A448" s="55" t="s">
        <v>118</v>
      </c>
      <c r="B448" s="8">
        <v>0</v>
      </c>
      <c r="C448" s="8"/>
      <c r="D448" s="8"/>
      <c r="E448" s="65"/>
      <c r="F448" s="8"/>
      <c r="G448" s="56"/>
      <c r="H448" s="8"/>
      <c r="I448" s="8"/>
      <c r="J448" s="8"/>
      <c r="K448" s="8"/>
      <c r="L448" s="8"/>
      <c r="M448" s="64"/>
      <c r="N448" s="8"/>
    </row>
    <row r="449" spans="1:14" x14ac:dyDescent="0.3">
      <c r="A449" s="55" t="s">
        <v>119</v>
      </c>
      <c r="B449" s="8">
        <v>0</v>
      </c>
      <c r="C449" s="8"/>
      <c r="D449" s="8"/>
      <c r="E449" s="8"/>
      <c r="F449" s="8"/>
      <c r="G449" s="56"/>
      <c r="H449" s="8"/>
      <c r="I449" s="8"/>
      <c r="J449" s="8"/>
      <c r="K449" s="8"/>
      <c r="L449" s="8"/>
      <c r="M449" s="64"/>
      <c r="N449" s="8"/>
    </row>
    <row r="450" spans="1:14" x14ac:dyDescent="0.3">
      <c r="A450" s="55"/>
      <c r="B450" s="8"/>
      <c r="C450" s="8"/>
      <c r="D450" s="8"/>
      <c r="E450" s="8"/>
      <c r="F450" s="8"/>
      <c r="G450" s="56"/>
      <c r="H450" s="8"/>
      <c r="I450" s="8"/>
      <c r="J450" s="8"/>
      <c r="K450" s="8"/>
      <c r="L450" s="8"/>
      <c r="M450" s="64"/>
      <c r="N450" s="8"/>
    </row>
    <row r="451" spans="1:14" ht="19.5" thickBot="1" x14ac:dyDescent="0.35">
      <c r="A451" s="66" t="s">
        <v>92</v>
      </c>
      <c r="B451" s="62">
        <f>SUM(B440:B450)</f>
        <v>80000000</v>
      </c>
      <c r="C451" s="62">
        <f t="shared" ref="C451:N451" si="43">SUM(C440:C450)</f>
        <v>87096572.890000001</v>
      </c>
      <c r="D451" s="62">
        <f t="shared" si="43"/>
        <v>0</v>
      </c>
      <c r="E451" s="62">
        <f t="shared" si="43"/>
        <v>0</v>
      </c>
      <c r="F451" s="62">
        <f t="shared" si="43"/>
        <v>0</v>
      </c>
      <c r="G451" s="62">
        <f t="shared" si="43"/>
        <v>0</v>
      </c>
      <c r="H451" s="62">
        <f t="shared" si="43"/>
        <v>0</v>
      </c>
      <c r="I451" s="62">
        <f t="shared" si="43"/>
        <v>0</v>
      </c>
      <c r="J451" s="62">
        <f t="shared" si="43"/>
        <v>0</v>
      </c>
      <c r="K451" s="62">
        <f t="shared" si="43"/>
        <v>0</v>
      </c>
      <c r="L451" s="62">
        <f t="shared" si="43"/>
        <v>0</v>
      </c>
      <c r="M451" s="62">
        <f t="shared" si="43"/>
        <v>0</v>
      </c>
      <c r="N451" s="62">
        <f t="shared" si="43"/>
        <v>0</v>
      </c>
    </row>
    <row r="452" spans="1:14" ht="20.25" thickTop="1" thickBot="1" x14ac:dyDescent="0.35">
      <c r="A452" s="70" t="s">
        <v>93</v>
      </c>
      <c r="B452" s="71"/>
      <c r="C452" s="72">
        <f>+C451-C438</f>
        <v>12341689.609999999</v>
      </c>
      <c r="D452" s="73"/>
      <c r="E452" s="74"/>
      <c r="F452" s="74"/>
      <c r="G452" s="75"/>
      <c r="H452" s="74"/>
      <c r="I452" s="74"/>
      <c r="J452" s="74"/>
      <c r="K452" s="74"/>
      <c r="L452" s="74"/>
      <c r="M452" s="76"/>
      <c r="N452" s="74"/>
    </row>
    <row r="453" spans="1:14" ht="19.5" thickTop="1" x14ac:dyDescent="0.3">
      <c r="A453" s="70"/>
      <c r="B453" s="77"/>
      <c r="C453" s="74"/>
      <c r="D453" s="74"/>
      <c r="E453" s="74"/>
      <c r="F453" s="74"/>
      <c r="G453" s="75"/>
      <c r="H453" s="74"/>
      <c r="I453" s="74"/>
      <c r="J453" s="74"/>
      <c r="K453" s="74"/>
      <c r="L453" s="74"/>
      <c r="M453" s="76"/>
      <c r="N453" s="74"/>
    </row>
    <row r="454" spans="1:14" x14ac:dyDescent="0.3">
      <c r="A454" s="70"/>
      <c r="B454" s="77"/>
      <c r="C454" s="74"/>
      <c r="D454" s="74"/>
      <c r="E454" s="74"/>
      <c r="F454" s="74"/>
      <c r="G454" s="75"/>
      <c r="H454" s="74"/>
      <c r="I454" s="74"/>
      <c r="J454" s="74"/>
      <c r="K454" s="74"/>
      <c r="L454" s="74"/>
      <c r="M454" s="76"/>
      <c r="N454" s="74"/>
    </row>
  </sheetData>
  <mergeCells count="36">
    <mergeCell ref="A117:N117"/>
    <mergeCell ref="A1:N1"/>
    <mergeCell ref="A2:N2"/>
    <mergeCell ref="A3:N3"/>
    <mergeCell ref="A39:N39"/>
    <mergeCell ref="A40:N40"/>
    <mergeCell ref="A41:N41"/>
    <mergeCell ref="A77:N77"/>
    <mergeCell ref="A78:N78"/>
    <mergeCell ref="A79:N79"/>
    <mergeCell ref="A115:N115"/>
    <mergeCell ref="A116:N116"/>
    <mergeCell ref="A269:N269"/>
    <mergeCell ref="A153:N153"/>
    <mergeCell ref="A154:N154"/>
    <mergeCell ref="A155:N155"/>
    <mergeCell ref="A191:N191"/>
    <mergeCell ref="A192:N192"/>
    <mergeCell ref="A193:N193"/>
    <mergeCell ref="A229:N229"/>
    <mergeCell ref="A230:N230"/>
    <mergeCell ref="A231:N231"/>
    <mergeCell ref="A267:N267"/>
    <mergeCell ref="A268:N268"/>
    <mergeCell ref="A421:N421"/>
    <mergeCell ref="A305:N305"/>
    <mergeCell ref="A306:N306"/>
    <mergeCell ref="A307:N307"/>
    <mergeCell ref="A343:N343"/>
    <mergeCell ref="A344:N344"/>
    <mergeCell ref="A345:N345"/>
    <mergeCell ref="A381:N381"/>
    <mergeCell ref="A382:N382"/>
    <mergeCell ref="A383:N383"/>
    <mergeCell ref="A419:N419"/>
    <mergeCell ref="A420:N4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งบแสดงผลการดำเนินงาน ปี 2557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Mr.Robin ThaiSaKonWindows Se7en V5</dc:creator>
  <cp:lastModifiedBy>com</cp:lastModifiedBy>
  <dcterms:created xsi:type="dcterms:W3CDTF">2016-05-27T08:30:03Z</dcterms:created>
  <dcterms:modified xsi:type="dcterms:W3CDTF">2016-05-27T09:05:38Z</dcterms:modified>
</cp:coreProperties>
</file>